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9725"/>
  <workbookPr/>
  <mc:AlternateContent xmlns:mc="http://schemas.openxmlformats.org/markup-compatibility/2006">
    <mc:Choice Requires="x15">
      <x15ac:absPath xmlns:x15ac="http://schemas.microsoft.com/office/spreadsheetml/2010/11/ac" url="https://crossboundary.sharepoint.com/sites/CBEProjects/Shared Documents/Asset Management/Financial and Revenue/Customers/Tariffs/Market Reference Pricing/"/>
    </mc:Choice>
  </mc:AlternateContent>
  <xr:revisionPtr revIDLastSave="4" documentId="11_8F6811B06D2758942B34C3D8221A6EBB8D49431E" xr6:coauthVersionLast="47" xr6:coauthVersionMax="47" xr10:uidLastSave="{5D960A1F-7C3E-4DD8-BDAA-AC537A5B60B1}"/>
  <bookViews>
    <workbookView xWindow="28680" yWindow="-120" windowWidth="24240" windowHeight="13020" firstSheet="2" activeTab="9" xr2:uid="{00000000-000D-0000-FFFF-FFFF00000000}"/>
  </bookViews>
  <sheets>
    <sheet name="Summary" sheetId="6" r:id="rId1"/>
    <sheet name="UTK01" sheetId="1" r:id="rId2"/>
    <sheet name="UGL01" sheetId="2" r:id="rId3"/>
    <sheet name="TBM01" sheetId="4" r:id="rId4"/>
    <sheet name="KAS01" sheetId="3" r:id="rId5"/>
    <sheet name="JAB01" sheetId="7" r:id="rId6"/>
    <sheet name="GBL01" sheetId="5" r:id="rId7"/>
    <sheet name="NBL01" sheetId="8" r:id="rId8"/>
    <sheet name="NBL02" sheetId="9" r:id="rId9"/>
    <sheet name="MOH001" sheetId="10" r:id="rId10"/>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24" i="10" l="1"/>
  <c r="R43" i="10" l="1"/>
  <c r="Q43" i="10"/>
  <c r="P43" i="10"/>
  <c r="O43" i="10"/>
  <c r="R42" i="10"/>
  <c r="Q42" i="10"/>
  <c r="P42" i="10"/>
  <c r="O42" i="10"/>
  <c r="R41" i="10"/>
  <c r="Q41" i="10"/>
  <c r="P41" i="10"/>
  <c r="O41" i="10"/>
  <c r="R40" i="10"/>
  <c r="Q40" i="10"/>
  <c r="P40" i="10"/>
  <c r="O40" i="10"/>
  <c r="R39" i="10"/>
  <c r="Q39" i="10"/>
  <c r="P39" i="10"/>
  <c r="O39" i="10"/>
  <c r="R38" i="10"/>
  <c r="Q38" i="10"/>
  <c r="P38" i="10"/>
  <c r="O38" i="10"/>
  <c r="R37" i="10"/>
  <c r="Q37" i="10"/>
  <c r="P37" i="10"/>
  <c r="O37" i="10"/>
  <c r="R36" i="10"/>
  <c r="Q36" i="10"/>
  <c r="P36" i="10"/>
  <c r="O36" i="10"/>
  <c r="R35" i="10"/>
  <c r="Q35" i="10"/>
  <c r="P35" i="10"/>
  <c r="O35" i="10"/>
  <c r="R34" i="10"/>
  <c r="Q34" i="10"/>
  <c r="P34" i="10"/>
  <c r="O34" i="10"/>
  <c r="R33" i="10"/>
  <c r="Q33" i="10"/>
  <c r="P33" i="10"/>
  <c r="O33" i="10"/>
  <c r="R32" i="10"/>
  <c r="Q32" i="10"/>
  <c r="P32" i="10"/>
  <c r="O32" i="10"/>
  <c r="R31" i="10"/>
  <c r="Q31" i="10"/>
  <c r="P31" i="10"/>
  <c r="O31" i="10"/>
  <c r="R30" i="10"/>
  <c r="Q30" i="10"/>
  <c r="P30" i="10"/>
  <c r="O30" i="10"/>
  <c r="R29" i="10"/>
  <c r="Q29" i="10"/>
  <c r="P29" i="10"/>
  <c r="O29" i="10"/>
  <c r="R28" i="10"/>
  <c r="Q28" i="10"/>
  <c r="P28" i="10"/>
  <c r="O28" i="10"/>
  <c r="Q27" i="10"/>
  <c r="P27" i="10"/>
  <c r="O27" i="10"/>
  <c r="D26" i="10"/>
  <c r="B26" i="10"/>
  <c r="B24" i="10"/>
  <c r="D23" i="10"/>
  <c r="B23" i="10"/>
  <c r="W20" i="10"/>
  <c r="Q20" i="10"/>
  <c r="K20" i="10"/>
  <c r="E20" i="10"/>
  <c r="W18" i="10"/>
  <c r="Q18" i="10"/>
  <c r="K18" i="10"/>
  <c r="E18" i="10"/>
  <c r="W17" i="10"/>
  <c r="Q17" i="10"/>
  <c r="K17" i="10"/>
  <c r="E17" i="10"/>
  <c r="W16" i="10"/>
  <c r="Q16" i="10"/>
  <c r="K16" i="10"/>
  <c r="E16" i="10"/>
  <c r="W15" i="10"/>
  <c r="Q15" i="10"/>
  <c r="K15" i="10"/>
  <c r="E15" i="10"/>
  <c r="W14" i="10"/>
  <c r="Q14" i="10"/>
  <c r="K14" i="10"/>
  <c r="E14" i="10"/>
  <c r="W13" i="10"/>
  <c r="Q13" i="10"/>
  <c r="K13" i="10"/>
  <c r="E13" i="10"/>
  <c r="W12" i="10"/>
  <c r="Q12" i="10"/>
  <c r="K12" i="10"/>
  <c r="E12" i="10"/>
  <c r="W11" i="10"/>
  <c r="Q11" i="10"/>
  <c r="K11" i="10"/>
  <c r="E11" i="10"/>
  <c r="W10" i="10"/>
  <c r="Q10" i="10"/>
  <c r="K10" i="10"/>
  <c r="E10" i="10"/>
  <c r="W9" i="10"/>
  <c r="Q9" i="10"/>
  <c r="K9" i="10"/>
  <c r="E9" i="10"/>
  <c r="W8" i="10"/>
  <c r="Q8" i="10"/>
  <c r="K8" i="10"/>
  <c r="E8" i="10"/>
  <c r="W7" i="10"/>
  <c r="Q7" i="10"/>
  <c r="K7" i="10"/>
  <c r="E7" i="10"/>
  <c r="W6" i="10"/>
  <c r="Q6" i="10"/>
  <c r="K6" i="10"/>
  <c r="E6" i="10"/>
  <c r="W5" i="10"/>
  <c r="Q5" i="10"/>
  <c r="K5" i="10"/>
  <c r="E5" i="10"/>
  <c r="W4" i="10"/>
  <c r="Q4" i="10"/>
  <c r="K4" i="10"/>
  <c r="E4" i="10"/>
  <c r="O50" i="9"/>
  <c r="N50" i="9"/>
  <c r="M50" i="9"/>
  <c r="L50" i="9"/>
  <c r="O49" i="9"/>
  <c r="N49" i="9"/>
  <c r="M49" i="9"/>
  <c r="L49" i="9"/>
  <c r="O48" i="9"/>
  <c r="N48" i="9"/>
  <c r="M48" i="9"/>
  <c r="L48" i="9"/>
  <c r="O47" i="9"/>
  <c r="N47" i="9"/>
  <c r="M47" i="9"/>
  <c r="L47" i="9"/>
  <c r="O46" i="9"/>
  <c r="N46" i="9"/>
  <c r="M46" i="9"/>
  <c r="L46" i="9"/>
  <c r="O45" i="9"/>
  <c r="N45" i="9"/>
  <c r="M45" i="9"/>
  <c r="L45" i="9"/>
  <c r="O44" i="9"/>
  <c r="N44" i="9"/>
  <c r="M44" i="9"/>
  <c r="L44" i="9"/>
  <c r="O43" i="9"/>
  <c r="N43" i="9"/>
  <c r="M43" i="9"/>
  <c r="L43" i="9"/>
  <c r="O42" i="9"/>
  <c r="N42" i="9"/>
  <c r="M42" i="9"/>
  <c r="L42" i="9"/>
  <c r="O41" i="9"/>
  <c r="N41" i="9"/>
  <c r="M41" i="9"/>
  <c r="L41" i="9"/>
  <c r="O40" i="9"/>
  <c r="N40" i="9"/>
  <c r="M40" i="9"/>
  <c r="L40" i="9"/>
  <c r="O39" i="9"/>
  <c r="N39" i="9"/>
  <c r="M39" i="9"/>
  <c r="L39" i="9"/>
  <c r="O38" i="9"/>
  <c r="N38" i="9"/>
  <c r="M38" i="9"/>
  <c r="L38" i="9"/>
  <c r="N37" i="9"/>
  <c r="M37" i="9"/>
  <c r="L37" i="9"/>
  <c r="C36" i="9"/>
  <c r="A36" i="9"/>
  <c r="N35" i="9"/>
  <c r="C34" i="9"/>
  <c r="A34" i="9"/>
  <c r="C33" i="9"/>
  <c r="A33" i="9"/>
  <c r="D30" i="9"/>
  <c r="C30" i="9"/>
  <c r="C29" i="9"/>
  <c r="K27" i="9"/>
  <c r="H27" i="9"/>
  <c r="K26" i="9"/>
  <c r="H26" i="9"/>
  <c r="K25" i="9"/>
  <c r="H25" i="9"/>
  <c r="K24" i="9"/>
  <c r="H24" i="9"/>
  <c r="K23" i="9"/>
  <c r="H23" i="9"/>
  <c r="K22" i="9"/>
  <c r="H22" i="9"/>
  <c r="K21" i="9"/>
  <c r="H21" i="9"/>
  <c r="K20" i="9"/>
  <c r="H20" i="9"/>
  <c r="K19" i="9"/>
  <c r="H19" i="9"/>
  <c r="K18" i="9"/>
  <c r="H18" i="9"/>
  <c r="K17" i="9"/>
  <c r="H17" i="9"/>
  <c r="K16" i="9"/>
  <c r="H16" i="9"/>
  <c r="K15" i="9"/>
  <c r="H15" i="9"/>
  <c r="K14" i="9"/>
  <c r="H14" i="9"/>
  <c r="K13" i="9"/>
  <c r="H13" i="9"/>
  <c r="K12" i="9"/>
  <c r="H12" i="9"/>
  <c r="K11" i="9"/>
  <c r="H11" i="9"/>
  <c r="K10" i="9"/>
  <c r="H10" i="9"/>
  <c r="K9" i="9"/>
  <c r="H9" i="9"/>
  <c r="K8" i="9"/>
  <c r="H8" i="9"/>
  <c r="K7" i="9"/>
  <c r="H7" i="9"/>
  <c r="K6" i="9"/>
  <c r="H6" i="9"/>
  <c r="K5" i="9"/>
  <c r="H5" i="9"/>
  <c r="K4" i="9"/>
  <c r="H4" i="9"/>
  <c r="O79" i="8"/>
  <c r="N79" i="8"/>
  <c r="M79" i="8"/>
  <c r="L79" i="8"/>
  <c r="O78" i="8"/>
  <c r="N78" i="8"/>
  <c r="M78" i="8"/>
  <c r="L78" i="8"/>
  <c r="O77" i="8"/>
  <c r="N77" i="8"/>
  <c r="M77" i="8"/>
  <c r="L77" i="8"/>
  <c r="O76" i="8"/>
  <c r="N76" i="8"/>
  <c r="M76" i="8"/>
  <c r="L76" i="8"/>
  <c r="O75" i="8"/>
  <c r="N75" i="8"/>
  <c r="M75" i="8"/>
  <c r="L75" i="8"/>
  <c r="O74" i="8"/>
  <c r="N74" i="8"/>
  <c r="M74" i="8"/>
  <c r="L74" i="8"/>
  <c r="O73" i="8"/>
  <c r="N73" i="8"/>
  <c r="M73" i="8"/>
  <c r="L73" i="8"/>
  <c r="O72" i="8"/>
  <c r="N72" i="8"/>
  <c r="M72" i="8"/>
  <c r="L72" i="8"/>
  <c r="O71" i="8"/>
  <c r="N71" i="8"/>
  <c r="M71" i="8"/>
  <c r="L71" i="8"/>
  <c r="O70" i="8"/>
  <c r="N70" i="8"/>
  <c r="M70" i="8"/>
  <c r="L70" i="8"/>
  <c r="O69" i="8"/>
  <c r="N69" i="8"/>
  <c r="M69" i="8"/>
  <c r="L69" i="8"/>
  <c r="O68" i="8"/>
  <c r="N68" i="8"/>
  <c r="M68" i="8"/>
  <c r="L68" i="8"/>
  <c r="O67" i="8"/>
  <c r="N67" i="8"/>
  <c r="M67" i="8"/>
  <c r="L67" i="8"/>
  <c r="O66" i="8"/>
  <c r="N66" i="8"/>
  <c r="M66" i="8"/>
  <c r="L66" i="8"/>
  <c r="O65" i="8"/>
  <c r="N65" i="8"/>
  <c r="M65" i="8"/>
  <c r="L65" i="8"/>
  <c r="O64" i="8"/>
  <c r="N64" i="8"/>
  <c r="M64" i="8"/>
  <c r="L64" i="8"/>
  <c r="D64" i="8"/>
  <c r="B64" i="8"/>
  <c r="N63" i="8"/>
  <c r="M63" i="8"/>
  <c r="L63" i="8"/>
  <c r="D62" i="8"/>
  <c r="B62" i="8"/>
  <c r="N61" i="8"/>
  <c r="D61" i="8"/>
  <c r="B61" i="8"/>
  <c r="D55" i="8"/>
  <c r="C55" i="8"/>
  <c r="C54" i="8"/>
  <c r="K52" i="8"/>
  <c r="H52" i="8"/>
  <c r="K51" i="8"/>
  <c r="H51" i="8"/>
  <c r="K50" i="8"/>
  <c r="H50" i="8"/>
  <c r="K49" i="8"/>
  <c r="H49" i="8"/>
  <c r="K48" i="8"/>
  <c r="H48" i="8"/>
  <c r="K47" i="8"/>
  <c r="H47" i="8"/>
  <c r="K46" i="8"/>
  <c r="H46" i="8"/>
  <c r="K45" i="8"/>
  <c r="H45" i="8"/>
  <c r="K44" i="8"/>
  <c r="H44" i="8"/>
  <c r="K43" i="8"/>
  <c r="H43" i="8"/>
  <c r="K42" i="8"/>
  <c r="H42" i="8"/>
  <c r="K41" i="8"/>
  <c r="H41" i="8"/>
  <c r="K40" i="8"/>
  <c r="H40" i="8"/>
  <c r="K39" i="8"/>
  <c r="H39" i="8"/>
  <c r="K38" i="8"/>
  <c r="H38" i="8"/>
  <c r="K37" i="8"/>
  <c r="H37" i="8"/>
  <c r="K36" i="8"/>
  <c r="H36" i="8"/>
  <c r="K35" i="8"/>
  <c r="H35" i="8"/>
  <c r="K34" i="8"/>
  <c r="H34" i="8"/>
  <c r="K33" i="8"/>
  <c r="H33" i="8"/>
  <c r="K32" i="8"/>
  <c r="H32" i="8"/>
  <c r="K31" i="8"/>
  <c r="H31" i="8"/>
  <c r="K30" i="8"/>
  <c r="H30" i="8"/>
  <c r="K29" i="8"/>
  <c r="H29" i="8"/>
  <c r="K28" i="8"/>
  <c r="H28" i="8"/>
  <c r="K27" i="8"/>
  <c r="H27" i="8"/>
  <c r="K26" i="8"/>
  <c r="H26" i="8"/>
  <c r="K25" i="8"/>
  <c r="H25" i="8"/>
  <c r="K24" i="8"/>
  <c r="H24" i="8"/>
  <c r="K23" i="8"/>
  <c r="H23" i="8"/>
  <c r="K22" i="8"/>
  <c r="H22" i="8"/>
  <c r="K21" i="8"/>
  <c r="H21" i="8"/>
  <c r="K20" i="8"/>
  <c r="H20" i="8"/>
  <c r="K19" i="8"/>
  <c r="H19" i="8"/>
  <c r="K18" i="8"/>
  <c r="H18" i="8"/>
  <c r="K17" i="8"/>
  <c r="H17" i="8"/>
  <c r="K16" i="8"/>
  <c r="H16" i="8"/>
  <c r="K15" i="8"/>
  <c r="H15" i="8"/>
  <c r="K14" i="8"/>
  <c r="H14" i="8"/>
  <c r="K13" i="8"/>
  <c r="H13" i="8"/>
  <c r="K12" i="8"/>
  <c r="H12" i="8"/>
  <c r="K11" i="8"/>
  <c r="H11" i="8"/>
  <c r="K10" i="8"/>
  <c r="H10" i="8"/>
  <c r="K9" i="8"/>
  <c r="H9" i="8"/>
  <c r="K8" i="8"/>
  <c r="H8" i="8"/>
  <c r="K7" i="8"/>
  <c r="H7" i="8"/>
  <c r="K6" i="8"/>
  <c r="H6" i="8"/>
  <c r="K5" i="8"/>
  <c r="H5" i="8"/>
  <c r="K4" i="8"/>
  <c r="H4" i="8"/>
  <c r="D38" i="5"/>
  <c r="C38" i="5"/>
  <c r="A38" i="5"/>
  <c r="D37" i="5"/>
  <c r="D36" i="5"/>
  <c r="C36" i="5"/>
  <c r="D35" i="5"/>
  <c r="F33" i="5"/>
  <c r="M30" i="5"/>
  <c r="L30" i="5"/>
  <c r="F30" i="5"/>
  <c r="E30" i="5"/>
  <c r="L29" i="5"/>
  <c r="E29" i="5"/>
  <c r="L27" i="5"/>
  <c r="I27" i="5"/>
  <c r="G27" i="5"/>
  <c r="E27" i="5"/>
  <c r="L26" i="5"/>
  <c r="I26" i="5"/>
  <c r="G26" i="5"/>
  <c r="E26" i="5"/>
  <c r="L25" i="5"/>
  <c r="I25" i="5"/>
  <c r="G25" i="5"/>
  <c r="E25" i="5"/>
  <c r="L24" i="5"/>
  <c r="I24" i="5"/>
  <c r="G24" i="5"/>
  <c r="E24" i="5"/>
  <c r="L23" i="5"/>
  <c r="I23" i="5"/>
  <c r="G23" i="5"/>
  <c r="E23" i="5"/>
  <c r="L22" i="5"/>
  <c r="I22" i="5"/>
  <c r="G22" i="5"/>
  <c r="E22" i="5"/>
  <c r="L21" i="5"/>
  <c r="I21" i="5"/>
  <c r="G21" i="5"/>
  <c r="E21" i="5"/>
  <c r="L20" i="5"/>
  <c r="I20" i="5"/>
  <c r="G20" i="5"/>
  <c r="E20" i="5"/>
  <c r="L19" i="5"/>
  <c r="I19" i="5"/>
  <c r="G19" i="5"/>
  <c r="E19" i="5"/>
  <c r="L18" i="5"/>
  <c r="I18" i="5"/>
  <c r="G18" i="5"/>
  <c r="E18" i="5"/>
  <c r="L17" i="5"/>
  <c r="I17" i="5"/>
  <c r="G17" i="5"/>
  <c r="E17" i="5"/>
  <c r="L16" i="5"/>
  <c r="I16" i="5"/>
  <c r="G16" i="5"/>
  <c r="E16" i="5"/>
  <c r="L15" i="5"/>
  <c r="I15" i="5"/>
  <c r="E15" i="5"/>
  <c r="L14" i="5"/>
  <c r="I14" i="5"/>
  <c r="E14" i="5"/>
  <c r="L13" i="5"/>
  <c r="I13" i="5"/>
  <c r="E13" i="5"/>
  <c r="L12" i="5"/>
  <c r="I12" i="5"/>
  <c r="E12" i="5"/>
  <c r="L11" i="5"/>
  <c r="I11" i="5"/>
  <c r="E11" i="5"/>
  <c r="L10" i="5"/>
  <c r="I10" i="5"/>
  <c r="E10" i="5"/>
  <c r="L9" i="5"/>
  <c r="I9" i="5"/>
  <c r="E9" i="5"/>
  <c r="L8" i="5"/>
  <c r="I8" i="5"/>
  <c r="E8" i="5"/>
  <c r="L7" i="5"/>
  <c r="I7" i="5"/>
  <c r="E7" i="5"/>
  <c r="L6" i="5"/>
  <c r="I6" i="5"/>
  <c r="E6" i="5"/>
  <c r="L5" i="5"/>
  <c r="I5" i="5"/>
  <c r="E5" i="5"/>
  <c r="L4" i="5"/>
  <c r="I4" i="5"/>
  <c r="E4" i="5"/>
  <c r="D64" i="7"/>
  <c r="B64" i="7"/>
  <c r="D62" i="7"/>
  <c r="D60" i="7"/>
  <c r="B60" i="7"/>
  <c r="D58" i="7"/>
  <c r="D56" i="7"/>
  <c r="D55" i="7"/>
  <c r="M51" i="7"/>
  <c r="D51" i="7"/>
  <c r="M49" i="7"/>
  <c r="J49" i="7"/>
  <c r="I49" i="7"/>
  <c r="H49" i="7"/>
  <c r="D49" i="7"/>
  <c r="M48" i="7"/>
  <c r="J48" i="7"/>
  <c r="H48" i="7"/>
  <c r="D48" i="7"/>
  <c r="M45" i="7"/>
  <c r="J45" i="7"/>
  <c r="H45" i="7"/>
  <c r="D45" i="7"/>
  <c r="M44" i="7"/>
  <c r="J44" i="7"/>
  <c r="H44" i="7"/>
  <c r="D44" i="7"/>
  <c r="M43" i="7"/>
  <c r="J43" i="7"/>
  <c r="I43" i="7"/>
  <c r="H43" i="7"/>
  <c r="D43" i="7"/>
  <c r="M42" i="7"/>
  <c r="J42" i="7"/>
  <c r="H42" i="7"/>
  <c r="D42" i="7"/>
  <c r="M41" i="7"/>
  <c r="J41" i="7"/>
  <c r="I41" i="7"/>
  <c r="H41" i="7"/>
  <c r="D41" i="7"/>
  <c r="M40" i="7"/>
  <c r="J40" i="7"/>
  <c r="D40" i="7"/>
  <c r="M39" i="7"/>
  <c r="J39" i="7"/>
  <c r="D39" i="7"/>
  <c r="M38" i="7"/>
  <c r="J38" i="7"/>
  <c r="D38" i="7"/>
  <c r="M37" i="7"/>
  <c r="J37" i="7"/>
  <c r="D37" i="7"/>
  <c r="M36" i="7"/>
  <c r="J36" i="7"/>
  <c r="D36" i="7"/>
  <c r="M35" i="7"/>
  <c r="J35" i="7"/>
  <c r="D35" i="7"/>
  <c r="M34" i="7"/>
  <c r="J34" i="7"/>
  <c r="I34" i="7"/>
  <c r="D34" i="7"/>
  <c r="M33" i="7"/>
  <c r="J33" i="7"/>
  <c r="I33" i="7"/>
  <c r="D33" i="7"/>
  <c r="M32" i="7"/>
  <c r="J32" i="7"/>
  <c r="D32" i="7"/>
  <c r="M31" i="7"/>
  <c r="J31" i="7"/>
  <c r="D31" i="7"/>
  <c r="M30" i="7"/>
  <c r="J30" i="7"/>
  <c r="D30" i="7"/>
  <c r="M29" i="7"/>
  <c r="J29" i="7"/>
  <c r="D29" i="7"/>
  <c r="M28" i="7"/>
  <c r="J28" i="7"/>
  <c r="D28" i="7"/>
  <c r="M27" i="7"/>
  <c r="J27" i="7"/>
  <c r="D27" i="7"/>
  <c r="M26" i="7"/>
  <c r="J26" i="7"/>
  <c r="D26" i="7"/>
  <c r="M25" i="7"/>
  <c r="J25" i="7"/>
  <c r="D25" i="7"/>
  <c r="M24" i="7"/>
  <c r="J24" i="7"/>
  <c r="D24" i="7"/>
  <c r="M23" i="7"/>
  <c r="J23" i="7"/>
  <c r="D23" i="7"/>
  <c r="M22" i="7"/>
  <c r="J22" i="7"/>
  <c r="D22" i="7"/>
  <c r="M21" i="7"/>
  <c r="J21" i="7"/>
  <c r="D21" i="7"/>
  <c r="M20" i="7"/>
  <c r="J20" i="7"/>
  <c r="D20" i="7"/>
  <c r="M19" i="7"/>
  <c r="J19" i="7"/>
  <c r="D19" i="7"/>
  <c r="M18" i="7"/>
  <c r="J18" i="7"/>
  <c r="D18" i="7"/>
  <c r="M17" i="7"/>
  <c r="J17" i="7"/>
  <c r="D17" i="7"/>
  <c r="M16" i="7"/>
  <c r="J16" i="7"/>
  <c r="D16" i="7"/>
  <c r="M15" i="7"/>
  <c r="J15" i="7"/>
  <c r="D15" i="7"/>
  <c r="M14" i="7"/>
  <c r="J14" i="7"/>
  <c r="D14" i="7"/>
  <c r="M13" i="7"/>
  <c r="J13" i="7"/>
  <c r="D13" i="7"/>
  <c r="M12" i="7"/>
  <c r="J12" i="7"/>
  <c r="D12" i="7"/>
  <c r="M11" i="7"/>
  <c r="J11" i="7"/>
  <c r="D11" i="7"/>
  <c r="M10" i="7"/>
  <c r="J10" i="7"/>
  <c r="D10" i="7"/>
  <c r="M9" i="7"/>
  <c r="J9" i="7"/>
  <c r="D9" i="7"/>
  <c r="M8" i="7"/>
  <c r="J8" i="7"/>
  <c r="D8" i="7"/>
  <c r="M7" i="7"/>
  <c r="J7" i="7"/>
  <c r="D7" i="7"/>
  <c r="M6" i="7"/>
  <c r="J6" i="7"/>
  <c r="D6" i="7"/>
  <c r="M5" i="7"/>
  <c r="J5" i="7"/>
  <c r="D5" i="7"/>
  <c r="N103" i="3"/>
  <c r="L103" i="3"/>
  <c r="N102" i="3"/>
  <c r="J102" i="3"/>
  <c r="N101" i="3"/>
  <c r="L101" i="3"/>
  <c r="N100" i="3"/>
  <c r="J100" i="3"/>
  <c r="N99" i="3"/>
  <c r="L99" i="3"/>
  <c r="N98" i="3"/>
  <c r="J98" i="3"/>
  <c r="N97" i="3"/>
  <c r="L97" i="3"/>
  <c r="N96" i="3"/>
  <c r="J96" i="3"/>
  <c r="N95" i="3"/>
  <c r="L95" i="3"/>
  <c r="N94" i="3"/>
  <c r="J94" i="3"/>
  <c r="N93" i="3"/>
  <c r="L93" i="3"/>
  <c r="N92" i="3"/>
  <c r="J92" i="3"/>
  <c r="N91" i="3"/>
  <c r="L91" i="3"/>
  <c r="N90" i="3"/>
  <c r="J90" i="3"/>
  <c r="N89" i="3"/>
  <c r="L89" i="3"/>
  <c r="N88" i="3"/>
  <c r="J88" i="3"/>
  <c r="N87" i="3"/>
  <c r="L87" i="3"/>
  <c r="N86" i="3"/>
  <c r="J86" i="3"/>
  <c r="N85" i="3"/>
  <c r="L85" i="3"/>
  <c r="N84" i="3"/>
  <c r="J84" i="3"/>
  <c r="N83" i="3"/>
  <c r="L83" i="3"/>
  <c r="N82" i="3"/>
  <c r="J82" i="3"/>
  <c r="N81" i="3"/>
  <c r="L81" i="3"/>
  <c r="N80" i="3"/>
  <c r="J80" i="3"/>
  <c r="N79" i="3"/>
  <c r="L79" i="3"/>
  <c r="N78" i="3"/>
  <c r="J78" i="3"/>
  <c r="N77" i="3"/>
  <c r="L77" i="3"/>
  <c r="N76" i="3"/>
  <c r="J76" i="3"/>
  <c r="N75" i="3"/>
  <c r="L75" i="3"/>
  <c r="N74" i="3"/>
  <c r="J74" i="3"/>
  <c r="N73" i="3"/>
  <c r="L73" i="3"/>
  <c r="N72" i="3"/>
  <c r="J72" i="3"/>
  <c r="N71" i="3"/>
  <c r="L71" i="3"/>
  <c r="N70" i="3"/>
  <c r="J70" i="3"/>
  <c r="N69" i="3"/>
  <c r="L69" i="3"/>
  <c r="N68" i="3"/>
  <c r="J68" i="3"/>
  <c r="N66" i="3"/>
  <c r="J66" i="3"/>
  <c r="N65" i="3"/>
  <c r="J65" i="3"/>
  <c r="N64" i="3"/>
  <c r="J64" i="3"/>
  <c r="N63" i="3"/>
  <c r="J63" i="3"/>
  <c r="D63" i="3"/>
  <c r="D61" i="3"/>
  <c r="B61" i="3"/>
  <c r="D56" i="3"/>
  <c r="D55" i="3"/>
  <c r="G53" i="3"/>
  <c r="E53" i="3"/>
  <c r="D53" i="3"/>
  <c r="G52" i="3"/>
  <c r="E52" i="3"/>
  <c r="D52" i="3"/>
  <c r="G51" i="3"/>
  <c r="E51" i="3"/>
  <c r="D51" i="3"/>
  <c r="G50" i="3"/>
  <c r="E50" i="3"/>
  <c r="D50" i="3"/>
  <c r="G49" i="3"/>
  <c r="E49" i="3"/>
  <c r="D49" i="3"/>
  <c r="G48" i="3"/>
  <c r="E48" i="3"/>
  <c r="D48" i="3"/>
  <c r="G47" i="3"/>
  <c r="G46" i="3"/>
  <c r="G45" i="3"/>
  <c r="G44" i="3"/>
  <c r="G43" i="3"/>
  <c r="G42" i="3"/>
  <c r="G41" i="3"/>
  <c r="G40" i="3"/>
  <c r="G39" i="3"/>
  <c r="G38" i="3"/>
  <c r="G37" i="3"/>
  <c r="G36" i="3"/>
  <c r="G35" i="3"/>
  <c r="G34" i="3"/>
  <c r="G33" i="3"/>
  <c r="G32" i="3"/>
  <c r="G31" i="3"/>
  <c r="G30" i="3"/>
  <c r="G29" i="3"/>
  <c r="G28" i="3"/>
  <c r="G27" i="3"/>
  <c r="G26" i="3"/>
  <c r="G25" i="3"/>
  <c r="G24" i="3"/>
  <c r="G23" i="3"/>
  <c r="G22" i="3"/>
  <c r="G21" i="3"/>
  <c r="G20" i="3"/>
  <c r="G19" i="3"/>
  <c r="G18" i="3"/>
  <c r="G17" i="3"/>
  <c r="G16" i="3"/>
  <c r="G15" i="3"/>
  <c r="G14" i="3"/>
  <c r="G13" i="3"/>
  <c r="G12" i="3"/>
  <c r="G11" i="3"/>
  <c r="G10" i="3"/>
  <c r="G9" i="3"/>
  <c r="G8" i="3"/>
  <c r="G7" i="3"/>
  <c r="G6" i="3"/>
  <c r="G5" i="3"/>
  <c r="G4" i="3"/>
  <c r="O71" i="4"/>
  <c r="N71" i="4"/>
  <c r="M71" i="4"/>
  <c r="O70" i="4"/>
  <c r="N70" i="4"/>
  <c r="M70" i="4"/>
  <c r="O69" i="4"/>
  <c r="N69" i="4"/>
  <c r="M69" i="4"/>
  <c r="O68" i="4"/>
  <c r="N68" i="4"/>
  <c r="M68" i="4"/>
  <c r="O67" i="4"/>
  <c r="N67" i="4"/>
  <c r="M67" i="4"/>
  <c r="O66" i="4"/>
  <c r="N66" i="4"/>
  <c r="M66" i="4"/>
  <c r="O65" i="4"/>
  <c r="N65" i="4"/>
  <c r="M65" i="4"/>
  <c r="O64" i="4"/>
  <c r="N64" i="4"/>
  <c r="M64" i="4"/>
  <c r="O63" i="4"/>
  <c r="N63" i="4"/>
  <c r="M63" i="4"/>
  <c r="O62" i="4"/>
  <c r="N62" i="4"/>
  <c r="M62" i="4"/>
  <c r="O61" i="4"/>
  <c r="N61" i="4"/>
  <c r="M61" i="4"/>
  <c r="O60" i="4"/>
  <c r="N60" i="4"/>
  <c r="M60" i="4"/>
  <c r="O59" i="4"/>
  <c r="N59" i="4"/>
  <c r="M59" i="4"/>
  <c r="O58" i="4"/>
  <c r="N58" i="4"/>
  <c r="M58" i="4"/>
  <c r="O57" i="4"/>
  <c r="N57" i="4"/>
  <c r="M57" i="4"/>
  <c r="O56" i="4"/>
  <c r="N56" i="4"/>
  <c r="M56" i="4"/>
  <c r="O55" i="4"/>
  <c r="N55" i="4"/>
  <c r="M55" i="4"/>
  <c r="O54" i="4"/>
  <c r="N54" i="4"/>
  <c r="M54" i="4"/>
  <c r="O53" i="4"/>
  <c r="N53" i="4"/>
  <c r="M53" i="4"/>
  <c r="O51" i="4"/>
  <c r="D51" i="4"/>
  <c r="D49" i="4"/>
  <c r="B49" i="4"/>
  <c r="D48" i="4"/>
  <c r="B48" i="4"/>
  <c r="E43" i="4"/>
  <c r="D43" i="4"/>
  <c r="E42" i="4"/>
  <c r="D42" i="4"/>
  <c r="D41" i="4"/>
  <c r="AD39" i="4"/>
  <c r="AB39" i="4"/>
  <c r="AA39" i="4"/>
  <c r="Z39" i="4"/>
  <c r="Y39" i="4"/>
  <c r="X39" i="4"/>
  <c r="T39" i="4"/>
  <c r="J39" i="4"/>
  <c r="H39" i="4"/>
  <c r="C39" i="4"/>
  <c r="AD38" i="4"/>
  <c r="AB38" i="4"/>
  <c r="AA38" i="4"/>
  <c r="Z38" i="4"/>
  <c r="Y38" i="4"/>
  <c r="X38" i="4"/>
  <c r="T38" i="4"/>
  <c r="J38" i="4"/>
  <c r="H38" i="4"/>
  <c r="C38" i="4"/>
  <c r="AD37" i="4"/>
  <c r="AB37" i="4"/>
  <c r="AA37" i="4"/>
  <c r="Z37" i="4"/>
  <c r="Y37" i="4"/>
  <c r="X37" i="4"/>
  <c r="T37" i="4"/>
  <c r="J37" i="4"/>
  <c r="H37" i="4"/>
  <c r="C37" i="4"/>
  <c r="AD36" i="4"/>
  <c r="AB36" i="4"/>
  <c r="AA36" i="4"/>
  <c r="Z36" i="4"/>
  <c r="Y36" i="4"/>
  <c r="X36" i="4"/>
  <c r="T36" i="4"/>
  <c r="J36" i="4"/>
  <c r="H36" i="4"/>
  <c r="C36" i="4"/>
  <c r="AD35" i="4"/>
  <c r="AB35" i="4"/>
  <c r="AA35" i="4"/>
  <c r="Z35" i="4"/>
  <c r="Y35" i="4"/>
  <c r="X35" i="4"/>
  <c r="T35" i="4"/>
  <c r="J35" i="4"/>
  <c r="H35" i="4"/>
  <c r="C35" i="4"/>
  <c r="AD34" i="4"/>
  <c r="AB34" i="4"/>
  <c r="AA34" i="4"/>
  <c r="Z34" i="4"/>
  <c r="Y34" i="4"/>
  <c r="X34" i="4"/>
  <c r="T34" i="4"/>
  <c r="J34" i="4"/>
  <c r="H34" i="4"/>
  <c r="C34" i="4"/>
  <c r="AD33" i="4"/>
  <c r="AB33" i="4"/>
  <c r="AA33" i="4"/>
  <c r="Z33" i="4"/>
  <c r="Y33" i="4"/>
  <c r="X33" i="4"/>
  <c r="T33" i="4"/>
  <c r="J33" i="4"/>
  <c r="H33" i="4"/>
  <c r="C33" i="4"/>
  <c r="AD32" i="4"/>
  <c r="AB32" i="4"/>
  <c r="AA32" i="4"/>
  <c r="Z32" i="4"/>
  <c r="Y32" i="4"/>
  <c r="X32" i="4"/>
  <c r="T32" i="4"/>
  <c r="J32" i="4"/>
  <c r="H32" i="4"/>
  <c r="C32" i="4"/>
  <c r="AD31" i="4"/>
  <c r="AB31" i="4"/>
  <c r="AA31" i="4"/>
  <c r="Z31" i="4"/>
  <c r="Y31" i="4"/>
  <c r="X31" i="4"/>
  <c r="T31" i="4"/>
  <c r="J31" i="4"/>
  <c r="H31" i="4"/>
  <c r="C31" i="4"/>
  <c r="AD30" i="4"/>
  <c r="AB30" i="4"/>
  <c r="AA30" i="4"/>
  <c r="Z30" i="4"/>
  <c r="Y30" i="4"/>
  <c r="X30" i="4"/>
  <c r="T30" i="4"/>
  <c r="J30" i="4"/>
  <c r="H30" i="4"/>
  <c r="C30" i="4"/>
  <c r="AD29" i="4"/>
  <c r="AB29" i="4"/>
  <c r="AA29" i="4"/>
  <c r="Z29" i="4"/>
  <c r="Y29" i="4"/>
  <c r="X29" i="4"/>
  <c r="V29" i="4"/>
  <c r="T29" i="4"/>
  <c r="J29" i="4"/>
  <c r="H29" i="4"/>
  <c r="C29" i="4"/>
  <c r="AD28" i="4"/>
  <c r="AB28" i="4"/>
  <c r="AA28" i="4"/>
  <c r="Z28" i="4"/>
  <c r="Y28" i="4"/>
  <c r="X28" i="4"/>
  <c r="U28" i="4"/>
  <c r="T28" i="4"/>
  <c r="J28" i="4"/>
  <c r="H28" i="4"/>
  <c r="C28" i="4"/>
  <c r="AD27" i="4"/>
  <c r="AB27" i="4"/>
  <c r="AA27" i="4"/>
  <c r="Z27" i="4"/>
  <c r="Y27" i="4"/>
  <c r="X27" i="4"/>
  <c r="T27" i="4"/>
  <c r="J27" i="4"/>
  <c r="H27" i="4"/>
  <c r="C27" i="4"/>
  <c r="AD26" i="4"/>
  <c r="AB26" i="4"/>
  <c r="AA26" i="4"/>
  <c r="Z26" i="4"/>
  <c r="Y26" i="4"/>
  <c r="X26" i="4"/>
  <c r="T26" i="4"/>
  <c r="J26" i="4"/>
  <c r="H26" i="4"/>
  <c r="C26" i="4"/>
  <c r="AD25" i="4"/>
  <c r="AB25" i="4"/>
  <c r="AA25" i="4"/>
  <c r="Z25" i="4"/>
  <c r="Y25" i="4"/>
  <c r="X25" i="4"/>
  <c r="T25" i="4"/>
  <c r="J25" i="4"/>
  <c r="H25" i="4"/>
  <c r="C25" i="4"/>
  <c r="AD24" i="4"/>
  <c r="AB24" i="4"/>
  <c r="AA24" i="4"/>
  <c r="Z24" i="4"/>
  <c r="Y24" i="4"/>
  <c r="X24" i="4"/>
  <c r="T24" i="4"/>
  <c r="J24" i="4"/>
  <c r="H24" i="4"/>
  <c r="C24" i="4"/>
  <c r="AD23" i="4"/>
  <c r="AB23" i="4"/>
  <c r="AA23" i="4"/>
  <c r="Z23" i="4"/>
  <c r="Y23" i="4"/>
  <c r="X23" i="4"/>
  <c r="T23" i="4"/>
  <c r="J23" i="4"/>
  <c r="H23" i="4"/>
  <c r="C23" i="4"/>
  <c r="AD22" i="4"/>
  <c r="AB22" i="4"/>
  <c r="AA22" i="4"/>
  <c r="Z22" i="4"/>
  <c r="Y22" i="4"/>
  <c r="X22" i="4"/>
  <c r="T22" i="4"/>
  <c r="J22" i="4"/>
  <c r="H22" i="4"/>
  <c r="C22" i="4"/>
  <c r="AD21" i="4"/>
  <c r="AB21" i="4"/>
  <c r="AA21" i="4"/>
  <c r="Z21" i="4"/>
  <c r="Y21" i="4"/>
  <c r="X21" i="4"/>
  <c r="T21" i="4"/>
  <c r="J21" i="4"/>
  <c r="H21" i="4"/>
  <c r="C21" i="4"/>
  <c r="AD20" i="4"/>
  <c r="AB20" i="4"/>
  <c r="AA20" i="4"/>
  <c r="Z20" i="4"/>
  <c r="Y20" i="4"/>
  <c r="X20" i="4"/>
  <c r="T20" i="4"/>
  <c r="J20" i="4"/>
  <c r="H20" i="4"/>
  <c r="C20" i="4"/>
  <c r="AD19" i="4"/>
  <c r="AB19" i="4"/>
  <c r="AA19" i="4"/>
  <c r="Z19" i="4"/>
  <c r="Y19" i="4"/>
  <c r="X19" i="4"/>
  <c r="T19" i="4"/>
  <c r="J19" i="4"/>
  <c r="H19" i="4"/>
  <c r="C19" i="4"/>
  <c r="AD18" i="4"/>
  <c r="AB18" i="4"/>
  <c r="AA18" i="4"/>
  <c r="Z18" i="4"/>
  <c r="Y18" i="4"/>
  <c r="X18" i="4"/>
  <c r="T18" i="4"/>
  <c r="J18" i="4"/>
  <c r="H18" i="4"/>
  <c r="C18" i="4"/>
  <c r="AD17" i="4"/>
  <c r="AB17" i="4"/>
  <c r="AA17" i="4"/>
  <c r="Z17" i="4"/>
  <c r="Y17" i="4"/>
  <c r="X17" i="4"/>
  <c r="T17" i="4"/>
  <c r="J17" i="4"/>
  <c r="H17" i="4"/>
  <c r="C17" i="4"/>
  <c r="AD16" i="4"/>
  <c r="AB16" i="4"/>
  <c r="AA16" i="4"/>
  <c r="Z16" i="4"/>
  <c r="Y16" i="4"/>
  <c r="X16" i="4"/>
  <c r="T16" i="4"/>
  <c r="J16" i="4"/>
  <c r="H16" i="4"/>
  <c r="C16" i="4"/>
  <c r="J15" i="4"/>
  <c r="J14" i="4"/>
  <c r="J13" i="4"/>
  <c r="J12" i="4"/>
  <c r="Q11" i="4"/>
  <c r="J11" i="4"/>
  <c r="Q10" i="4"/>
  <c r="J10" i="4"/>
  <c r="J9" i="4"/>
  <c r="J8" i="4"/>
  <c r="Q7" i="4"/>
  <c r="J7" i="4"/>
  <c r="Q6" i="4"/>
  <c r="J6" i="4"/>
  <c r="J5" i="4"/>
  <c r="J4" i="4"/>
  <c r="P82" i="2"/>
  <c r="O82" i="2"/>
  <c r="N82" i="2"/>
  <c r="P81" i="2"/>
  <c r="O81" i="2"/>
  <c r="N81" i="2"/>
  <c r="P80" i="2"/>
  <c r="O80" i="2"/>
  <c r="N80" i="2"/>
  <c r="D80" i="2"/>
  <c r="B80" i="2"/>
  <c r="P79" i="2"/>
  <c r="O79" i="2"/>
  <c r="N79" i="2"/>
  <c r="P78" i="2"/>
  <c r="O78" i="2"/>
  <c r="N78" i="2"/>
  <c r="D78" i="2"/>
  <c r="B78" i="2"/>
  <c r="P77" i="2"/>
  <c r="O77" i="2"/>
  <c r="N77" i="2"/>
  <c r="D77" i="2"/>
  <c r="B77" i="2"/>
  <c r="P76" i="2"/>
  <c r="O76" i="2"/>
  <c r="N76" i="2"/>
  <c r="P75" i="2"/>
  <c r="O75" i="2"/>
  <c r="N75" i="2"/>
  <c r="P74" i="2"/>
  <c r="O74" i="2"/>
  <c r="N74" i="2"/>
  <c r="Q73" i="2"/>
  <c r="P73" i="2"/>
  <c r="O73" i="2"/>
  <c r="N73" i="2"/>
  <c r="Q72" i="2"/>
  <c r="P72" i="2"/>
  <c r="O72" i="2"/>
  <c r="N72" i="2"/>
  <c r="E72" i="2"/>
  <c r="D72" i="2"/>
  <c r="Q71" i="2"/>
  <c r="P71" i="2"/>
  <c r="O71" i="2"/>
  <c r="N71" i="2"/>
  <c r="E71" i="2"/>
  <c r="D71" i="2"/>
  <c r="Q70" i="2"/>
  <c r="P70" i="2"/>
  <c r="O70" i="2"/>
  <c r="N70" i="2"/>
  <c r="D70" i="2"/>
  <c r="Q69" i="2"/>
  <c r="P69" i="2"/>
  <c r="O69" i="2"/>
  <c r="N69" i="2"/>
  <c r="P67" i="2"/>
  <c r="F63" i="2"/>
  <c r="F62" i="2"/>
  <c r="F61" i="2"/>
  <c r="F60" i="2"/>
  <c r="F59" i="2"/>
  <c r="F58" i="2"/>
  <c r="F57" i="2"/>
  <c r="F56" i="2"/>
  <c r="F55" i="2"/>
  <c r="F54" i="2"/>
  <c r="F53" i="2"/>
  <c r="F52" i="2"/>
  <c r="F51" i="2"/>
  <c r="F50" i="2"/>
  <c r="F49" i="2"/>
  <c r="F48" i="2"/>
  <c r="F47" i="2"/>
  <c r="F46" i="2"/>
  <c r="F45" i="2"/>
  <c r="F44" i="2"/>
  <c r="F43" i="2"/>
  <c r="F42" i="2"/>
  <c r="F41" i="2"/>
  <c r="W40" i="2"/>
  <c r="F40" i="2"/>
  <c r="F39" i="2"/>
  <c r="F38" i="2"/>
  <c r="F37" i="2"/>
  <c r="F36" i="2"/>
  <c r="F35" i="2"/>
  <c r="F34" i="2"/>
  <c r="F33" i="2"/>
  <c r="F32" i="2"/>
  <c r="F31" i="2"/>
  <c r="F30" i="2"/>
  <c r="F29" i="2"/>
  <c r="F28" i="2"/>
  <c r="F27" i="2"/>
  <c r="F26" i="2"/>
  <c r="F25" i="2"/>
  <c r="F24" i="2"/>
  <c r="F23" i="2"/>
  <c r="F22" i="2"/>
  <c r="F21" i="2"/>
  <c r="F20" i="2"/>
  <c r="F19" i="2"/>
  <c r="F18" i="2"/>
  <c r="F17" i="2"/>
  <c r="F16" i="2"/>
  <c r="F15" i="2"/>
  <c r="F14" i="2"/>
  <c r="F13" i="2"/>
  <c r="F12" i="2"/>
  <c r="F11" i="2"/>
  <c r="F10" i="2"/>
  <c r="F9" i="2"/>
  <c r="F8" i="2"/>
  <c r="F7" i="2"/>
  <c r="F6" i="2"/>
  <c r="F5" i="2"/>
  <c r="F4" i="2"/>
  <c r="J86" i="1"/>
  <c r="I86" i="1"/>
  <c r="H86" i="1"/>
  <c r="J85" i="1"/>
  <c r="I85" i="1"/>
  <c r="H85" i="1"/>
  <c r="J84" i="1"/>
  <c r="I84" i="1"/>
  <c r="H84" i="1"/>
  <c r="J83" i="1"/>
  <c r="I83" i="1"/>
  <c r="H83" i="1"/>
  <c r="J82" i="1"/>
  <c r="I82" i="1"/>
  <c r="H82" i="1"/>
  <c r="J81" i="1"/>
  <c r="I81" i="1"/>
  <c r="H81" i="1"/>
  <c r="J80" i="1"/>
  <c r="I80" i="1"/>
  <c r="H80" i="1"/>
  <c r="J79" i="1"/>
  <c r="I79" i="1"/>
  <c r="H79" i="1"/>
  <c r="J78" i="1"/>
  <c r="I78" i="1"/>
  <c r="H78" i="1"/>
  <c r="J77" i="1"/>
  <c r="I77" i="1"/>
  <c r="H77" i="1"/>
  <c r="D77" i="1"/>
  <c r="J76" i="1"/>
  <c r="I76" i="1"/>
  <c r="H76" i="1"/>
  <c r="D75" i="1"/>
  <c r="J74" i="1"/>
  <c r="I74" i="1"/>
  <c r="H74" i="1"/>
  <c r="D74" i="1"/>
  <c r="B74" i="1"/>
  <c r="J73" i="1"/>
  <c r="I73" i="1"/>
  <c r="H73" i="1"/>
  <c r="D73" i="1"/>
  <c r="B73" i="1"/>
  <c r="J72" i="1"/>
  <c r="I72" i="1"/>
  <c r="H72" i="1"/>
  <c r="E61" i="1"/>
  <c r="D61" i="1"/>
  <c r="D60" i="1"/>
  <c r="J46" i="1"/>
  <c r="J45" i="1"/>
  <c r="J44" i="1"/>
  <c r="J43" i="1"/>
  <c r="J42" i="1"/>
  <c r="J41" i="1"/>
  <c r="J40" i="1"/>
  <c r="J39" i="1"/>
  <c r="J38" i="1"/>
  <c r="J37" i="1"/>
  <c r="J36" i="1"/>
  <c r="J35" i="1"/>
  <c r="J34" i="1"/>
  <c r="J33" i="1"/>
  <c r="J32" i="1"/>
  <c r="J31" i="1"/>
  <c r="J30" i="1"/>
  <c r="J29" i="1"/>
  <c r="J28" i="1"/>
  <c r="J27" i="1"/>
  <c r="J26" i="1"/>
  <c r="J25" i="1"/>
  <c r="J24" i="1"/>
  <c r="J23" i="1"/>
  <c r="J22" i="1"/>
  <c r="J21" i="1"/>
  <c r="J20" i="1"/>
  <c r="J19" i="1"/>
  <c r="J18" i="1"/>
  <c r="J17" i="1"/>
  <c r="J16" i="1"/>
  <c r="J15" i="1"/>
  <c r="J14" i="1"/>
  <c r="J13" i="1"/>
  <c r="J12" i="1"/>
  <c r="J11" i="1"/>
  <c r="AE10" i="6"/>
  <c r="AB10" i="6"/>
  <c r="Y10" i="6"/>
  <c r="W10" i="6"/>
  <c r="V10" i="6"/>
  <c r="T10" i="6"/>
  <c r="S10" i="6"/>
  <c r="R10" i="6"/>
  <c r="P10" i="6"/>
  <c r="AD9" i="6"/>
  <c r="AA9" i="6"/>
  <c r="Y9" i="6"/>
  <c r="W9" i="6"/>
  <c r="V9" i="6"/>
  <c r="T9" i="6"/>
  <c r="R9" i="6"/>
  <c r="P9" i="6"/>
  <c r="AD8" i="6"/>
  <c r="AB8" i="6"/>
  <c r="AA8" i="6"/>
  <c r="W8" i="6"/>
  <c r="V8" i="6"/>
  <c r="T8" i="6"/>
  <c r="S8" i="6"/>
  <c r="R8" i="6"/>
  <c r="P8" i="6"/>
  <c r="O8" i="6"/>
  <c r="N8" i="6"/>
  <c r="AE7" i="6"/>
  <c r="AD7" i="6"/>
  <c r="AB7" i="6"/>
  <c r="AA7" i="6"/>
  <c r="Y7" i="6"/>
  <c r="T7" i="6"/>
  <c r="S7" i="6"/>
  <c r="R7" i="6"/>
  <c r="P7" i="6"/>
  <c r="O7" i="6"/>
  <c r="N7" i="6"/>
  <c r="E7" i="6"/>
  <c r="AD6" i="6"/>
  <c r="AA6" i="6"/>
  <c r="Y6" i="6"/>
  <c r="W6" i="6"/>
  <c r="V6" i="6"/>
  <c r="T6" i="6"/>
  <c r="P6" i="6"/>
  <c r="O6" i="6"/>
  <c r="N6" i="6"/>
  <c r="E6" i="6"/>
  <c r="AD5" i="6"/>
  <c r="AA5" i="6"/>
  <c r="Y5" i="6"/>
  <c r="V5" i="6"/>
  <c r="T5" i="6"/>
  <c r="P5" i="6"/>
  <c r="O5" i="6"/>
  <c r="N5" i="6"/>
  <c r="E5" i="6"/>
  <c r="AD4" i="6"/>
  <c r="AA4" i="6"/>
  <c r="W4" i="6"/>
  <c r="V4" i="6"/>
  <c r="T4" i="6"/>
  <c r="P4" i="6"/>
  <c r="O4" i="6"/>
  <c r="N4" i="6"/>
  <c r="E4" i="6"/>
  <c r="AD3" i="6"/>
  <c r="AA3" i="6"/>
  <c r="W3" i="6"/>
  <c r="V3" i="6"/>
  <c r="T3" i="6"/>
  <c r="P3" i="6"/>
  <c r="O3" i="6"/>
  <c r="N3" i="6"/>
  <c r="E3" i="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Bronwyn Von Maltitz</author>
  </authors>
  <commentList>
    <comment ref="I48" authorId="0" shapeId="0" xr:uid="{00000000-0006-0000-0500-000002000000}">
      <text>
        <r>
          <rPr>
            <b/>
            <sz val="9"/>
            <rFont val="Tahoma"/>
            <charset val="134"/>
          </rPr>
          <t>Bronwyn Von Maltitz:</t>
        </r>
        <r>
          <rPr>
            <sz val="9"/>
            <rFont val="Tahoma"/>
            <charset val="134"/>
          </rPr>
          <t xml:space="preserve">
Total price of all 3 bills / total litres</t>
        </r>
      </text>
    </comment>
    <comment ref="I49" authorId="0" shapeId="0" xr:uid="{00000000-0006-0000-0500-000003000000}">
      <text>
        <r>
          <rPr>
            <b/>
            <sz val="9"/>
            <rFont val="Tahoma"/>
            <charset val="134"/>
          </rPr>
          <t>Bronwyn Von Maltitz:</t>
        </r>
        <r>
          <rPr>
            <sz val="9"/>
            <rFont val="Tahoma"/>
            <charset val="134"/>
          </rPr>
          <t xml:space="preserve">
Total price of all 3 bills / total litres</t>
        </r>
      </text>
    </comment>
  </commentList>
</comments>
</file>

<file path=xl/sharedStrings.xml><?xml version="1.0" encoding="utf-8"?>
<sst xmlns="http://schemas.openxmlformats.org/spreadsheetml/2006/main" count="733" uniqueCount="256">
  <si>
    <t>Market Ref Price</t>
  </si>
  <si>
    <t>Contract Data</t>
  </si>
  <si>
    <t>Fm review comments</t>
  </si>
  <si>
    <t>Sage Code</t>
  </si>
  <si>
    <t>Name</t>
  </si>
  <si>
    <t>Contact Name</t>
  </si>
  <si>
    <t>Contact Email</t>
  </si>
  <si>
    <t>COD</t>
  </si>
  <si>
    <t>OY End</t>
  </si>
  <si>
    <t>Last Entry</t>
  </si>
  <si>
    <t>Missing Utility Bills</t>
  </si>
  <si>
    <t>Requested</t>
  </si>
  <si>
    <t>Follow up request</t>
  </si>
  <si>
    <t>Received</t>
  </si>
  <si>
    <t>Updated Sage</t>
  </si>
  <si>
    <t>Grid Reference Price</t>
  </si>
  <si>
    <t xml:space="preserve">Discount </t>
  </si>
  <si>
    <t>Solar Tariff Grid</t>
  </si>
  <si>
    <t>Generator Reference Price</t>
  </si>
  <si>
    <t>Solar Tariff Generator</t>
  </si>
  <si>
    <t>Min Price</t>
  </si>
  <si>
    <t>Max Price</t>
  </si>
  <si>
    <t>Closing Spot 31 July 2024</t>
  </si>
  <si>
    <t>Converted Solar Grid Tariff</t>
  </si>
  <si>
    <t>Converted Solar Generator Tariff</t>
  </si>
  <si>
    <t>Invoiced Tariff / kWh</t>
  </si>
  <si>
    <t>Comment on Price applied</t>
  </si>
  <si>
    <t>local currency translation</t>
  </si>
  <si>
    <t>UTK01</t>
  </si>
  <si>
    <t>Unilever Tea Kenya</t>
  </si>
  <si>
    <t>Jackline Mitei</t>
  </si>
  <si>
    <t>Jackline.Mitei@lipton.com</t>
  </si>
  <si>
    <t>May</t>
  </si>
  <si>
    <t>1 Jun 2021 - 31 May 2024</t>
  </si>
  <si>
    <t>Yes</t>
  </si>
  <si>
    <t>No</t>
  </si>
  <si>
    <t>Solar Grid Tariff</t>
  </si>
  <si>
    <t>OK</t>
  </si>
  <si>
    <t>The floor tarrif that was pulling on the footer was 0.1244. However, on the lines , the sytem seemed to be have been applying the correct rate of 0.1213</t>
  </si>
  <si>
    <t>footer min price was incorrect. Corrected now TBC permanent fix</t>
  </si>
  <si>
    <t>UGL01</t>
  </si>
  <si>
    <t>Unilever Ghana</t>
  </si>
  <si>
    <t>Thomas Asante</t>
  </si>
  <si>
    <t>Thomas.Asante@unilever.com</t>
  </si>
  <si>
    <t>Dec</t>
  </si>
  <si>
    <t>1 Jan 2023 - 31 Dec 2023</t>
  </si>
  <si>
    <t>Check</t>
  </si>
  <si>
    <t>Need to update the escaltion in tariff for year 4. System setup incorrectly to escalate Solar Tariff not Floor/ Ceiling. Issues trying to amend</t>
  </si>
  <si>
    <t>KAS01</t>
  </si>
  <si>
    <t>Kasapreko (phase 1 and 2)</t>
  </si>
  <si>
    <t>Vijaya Kumar</t>
  </si>
  <si>
    <t>vijaya.kumar@kasapreko.com</t>
  </si>
  <si>
    <t>Oct</t>
  </si>
  <si>
    <t>1 Nov 2022 - 31 Oct 2023</t>
  </si>
  <si>
    <t>N/A</t>
  </si>
  <si>
    <t>1.The discount rate as per historical confirguration was 19.2% .However,the PPA states 19.5%. Richard to confirm if there was a side discussion which was not documented to support the rate that was configured on sage. 2. As per sage configuration , the floor is 0.0914. However, as per Carlas recon the rate should be 0.0989. I have established the issue here is the historical floor rate that was configured on sage. As of 2022 the floor was 0.087 which has been the basis of esclation over the years.</t>
  </si>
  <si>
    <t>refer to KAS01 tab for details</t>
  </si>
  <si>
    <t>TBM01</t>
  </si>
  <si>
    <t>TeePee Brushes</t>
  </si>
  <si>
    <t>Kaumin Malde</t>
  </si>
  <si>
    <t>kaumin@brush.co.ke</t>
  </si>
  <si>
    <t>Feb</t>
  </si>
  <si>
    <t>1 Mar 2023 - 29 Feb 2024</t>
  </si>
  <si>
    <t>refer to TBM01 tab for details</t>
  </si>
  <si>
    <t>GBL01</t>
  </si>
  <si>
    <t>Guinness Ghana Breweries</t>
  </si>
  <si>
    <t>Justin Solomon</t>
  </si>
  <si>
    <t>Justin.Solomon@diageo.com</t>
  </si>
  <si>
    <t>Mar</t>
  </si>
  <si>
    <t>1 Apr 2021 - 31 Mar 2024</t>
  </si>
  <si>
    <t>Solar Grid and Generator Tariff</t>
  </si>
  <si>
    <t>refer to GBL01 tab for details</t>
  </si>
  <si>
    <t>JAB01</t>
  </si>
  <si>
    <t>Jabi Lake Mall</t>
  </si>
  <si>
    <t>Franklyn Ogene</t>
  </si>
  <si>
    <t>FOgene@broll.com.ng</t>
  </si>
  <si>
    <t>Jun</t>
  </si>
  <si>
    <t>1 Mar 2023 - 31 May 2024</t>
  </si>
  <si>
    <t>The issue was the translated rate was not agreeing to our recalculation. T3T discovered the system was taking the inverse rate from the currency table on sage. FM to run EM and Carla for context</t>
  </si>
  <si>
    <t>refer to JAB01 tab for details</t>
  </si>
  <si>
    <t>NOTE: This is only contract requiring MONTHLY UPDATE. All other contracts are amended annually on anniversary of COD</t>
  </si>
  <si>
    <t>NBL01</t>
  </si>
  <si>
    <t xml:space="preserve">Nigerian Breweries - Ibadan </t>
  </si>
  <si>
    <t>Michael Odusanya</t>
  </si>
  <si>
    <t>patrick.chukwumba@heineken.com
solomon.ndimkaoha@heineken.com</t>
  </si>
  <si>
    <t>refer to NBL01 tab for details</t>
  </si>
  <si>
    <t>NBL02</t>
  </si>
  <si>
    <t xml:space="preserve">Nigerian Breweries - Ama </t>
  </si>
  <si>
    <t>No entries</t>
  </si>
  <si>
    <t>Solar GeneratorTariff</t>
  </si>
  <si>
    <t>The discount rate as per sage is 23.20 what is reflectingon the footer of invoice is 23%. However, calculations on the lines seems to be calculating okay. T3T to update the rounding on the footer</t>
  </si>
  <si>
    <t>refer to NBL02 tab for details</t>
  </si>
  <si>
    <t>Asset Management to request from Customers and update in Sage</t>
  </si>
  <si>
    <t>Finance to review contract data in Sage and revert</t>
  </si>
  <si>
    <t>ZT98F</t>
  </si>
  <si>
    <t>Customer Pricing information</t>
  </si>
  <si>
    <t>LIVE</t>
  </si>
  <si>
    <t>19/06/2024</t>
  </si>
  <si>
    <t>---</t>
  </si>
  <si>
    <t>ZCONNUM</t>
  </si>
  <si>
    <t>Contract</t>
  </si>
  <si>
    <t>CONKEN00-2021-00001</t>
  </si>
  <si>
    <t>ZCONLIN</t>
  </si>
  <si>
    <t>Line</t>
  </si>
  <si>
    <t>Period</t>
  </si>
  <si>
    <t>Consumption</t>
  </si>
  <si>
    <t>ERC</t>
  </si>
  <si>
    <t>FCC</t>
  </si>
  <si>
    <t>FERFA</t>
  </si>
  <si>
    <t>IA</t>
  </si>
  <si>
    <t>REP</t>
  </si>
  <si>
    <t>WARMA</t>
  </si>
  <si>
    <t>Price total</t>
  </si>
  <si>
    <t>Generator efficiency</t>
  </si>
  <si>
    <t>Generator Surcharge</t>
  </si>
  <si>
    <t xml:space="preserve">Tariff Applied: </t>
  </si>
  <si>
    <t>Source:</t>
  </si>
  <si>
    <t>Electricity cost in Kenya (stimatracker.com)</t>
  </si>
  <si>
    <t>Updated in Sage</t>
  </si>
  <si>
    <t>29-Feb-25</t>
  </si>
  <si>
    <t>Average Price</t>
  </si>
  <si>
    <r>
      <rPr>
        <sz val="11"/>
        <color theme="1"/>
        <rFont val="Aptos Narrow"/>
        <charset val="134"/>
        <scheme val="minor"/>
      </rPr>
      <t>Current Market Reference Price is based on period ending</t>
    </r>
    <r>
      <rPr>
        <b/>
        <sz val="11"/>
        <color rgb="FFFF0000"/>
        <rFont val="Aptos Narrow"/>
        <charset val="134"/>
        <scheme val="minor"/>
      </rPr>
      <t xml:space="preserve"> May 2021</t>
    </r>
  </si>
  <si>
    <t>Current Average</t>
  </si>
  <si>
    <t>New reference Price based on latest utlility bills</t>
  </si>
  <si>
    <t>Commercial Operations Date:</t>
  </si>
  <si>
    <t>OY</t>
  </si>
  <si>
    <t>Min</t>
  </si>
  <si>
    <t>Max</t>
  </si>
  <si>
    <t>Year Ended</t>
  </si>
  <si>
    <t>Escalation</t>
  </si>
  <si>
    <t>USD/KWh</t>
  </si>
  <si>
    <t>USD Selling Price</t>
  </si>
  <si>
    <t>Spot rate at 26.06.2025</t>
  </si>
  <si>
    <t>Min Solar Price</t>
  </si>
  <si>
    <t>KES/KWh</t>
  </si>
  <si>
    <t>Max Solar Price</t>
  </si>
  <si>
    <t>Market Reference Price</t>
  </si>
  <si>
    <t>Discount</t>
  </si>
  <si>
    <t>Discounted Market Reference Price</t>
  </si>
  <si>
    <t>PPA Annexures</t>
  </si>
  <si>
    <t>No definition for Operating Year in PPA</t>
  </si>
  <si>
    <t>ZDAT</t>
  </si>
  <si>
    <t>ZPRICODE1</t>
  </si>
  <si>
    <t>ZPRICODE2</t>
  </si>
  <si>
    <t>ZPRICODE3</t>
  </si>
  <si>
    <t>ZPRITOT</t>
  </si>
  <si>
    <t>ZGENEFF</t>
  </si>
  <si>
    <t>ZGENSURCHG</t>
  </si>
  <si>
    <t>Energy Charge(GHS)</t>
  </si>
  <si>
    <t>Govt Levy(GHS)</t>
  </si>
  <si>
    <t>Street Lighting(GHS)</t>
  </si>
  <si>
    <t>CPI for All Urban Consumers (CPI-U)</t>
  </si>
  <si>
    <t>Original Data Value</t>
  </si>
  <si>
    <t>Series Id:</t>
  </si>
  <si>
    <t>CUUR0000SA0</t>
  </si>
  <si>
    <t>https://data.bls.gov/pdq/SurveyOutputServlet</t>
  </si>
  <si>
    <t>Not Seasonally Adjusted</t>
  </si>
  <si>
    <t>Series Title:</t>
  </si>
  <si>
    <t>All items in U.S. city average, all urban consumers, not seasonally adjusted</t>
  </si>
  <si>
    <t>Area:</t>
  </si>
  <si>
    <t>U.S. city average</t>
  </si>
  <si>
    <t>Item:</t>
  </si>
  <si>
    <t>All items</t>
  </si>
  <si>
    <t>Base Period:</t>
  </si>
  <si>
    <t>1982-84=100</t>
  </si>
  <si>
    <t>Years:</t>
  </si>
  <si>
    <t>2010 to 2020</t>
  </si>
  <si>
    <t xml:space="preserve">CPI </t>
  </si>
  <si>
    <t>Year</t>
  </si>
  <si>
    <t>Jan</t>
  </si>
  <si>
    <t>Apr</t>
  </si>
  <si>
    <t>Jul</t>
  </si>
  <si>
    <t>Aug</t>
  </si>
  <si>
    <t>Sep</t>
  </si>
  <si>
    <t>Nov</t>
  </si>
  <si>
    <t>Floor</t>
  </si>
  <si>
    <t>Ceiling</t>
  </si>
  <si>
    <t>ZPRIAVG</t>
  </si>
  <si>
    <t>Average Market Price 2024</t>
  </si>
  <si>
    <t>Average Market Price 2025</t>
  </si>
  <si>
    <t>Average Market Price 2026</t>
  </si>
  <si>
    <t>GHS/KWh</t>
  </si>
  <si>
    <t>Discounted Mkt Ref Price</t>
  </si>
  <si>
    <t>ZPRICODE4</t>
  </si>
  <si>
    <t>ZPRICODE5</t>
  </si>
  <si>
    <t>ZPRICODE6</t>
  </si>
  <si>
    <t>ZPRICODE7</t>
  </si>
  <si>
    <t>Total weekly sunshine hours</t>
  </si>
  <si>
    <t>6am-6pm daily</t>
  </si>
  <si>
    <t>Weekend hours with Low Rate 2 tariff</t>
  </si>
  <si>
    <t>Sat 8am-2pm + Sun 6am-6pm</t>
  </si>
  <si>
    <t>Weighting of Peak/Offpeak sunshine Hours</t>
  </si>
  <si>
    <t>Pro rata Hrs</t>
  </si>
  <si>
    <t>Peak (High Rate + Low Rate 1)</t>
  </si>
  <si>
    <t>Offpeak (Low Rate 2)</t>
  </si>
  <si>
    <t>Tariff per kWh</t>
  </si>
  <si>
    <t>Consumption (kWh)</t>
  </si>
  <si>
    <t>Weighting with tariff</t>
  </si>
  <si>
    <t>High Rate</t>
  </si>
  <si>
    <t>Low Rate 1</t>
  </si>
  <si>
    <t>Low Rate 2</t>
  </si>
  <si>
    <t>Consumption Rate</t>
  </si>
  <si>
    <t>AVE</t>
  </si>
  <si>
    <t>exclude LR</t>
  </si>
  <si>
    <t>Average Price PY 2023</t>
  </si>
  <si>
    <t>Average Price PY 2024</t>
  </si>
  <si>
    <t>Average Price PY 2025</t>
  </si>
  <si>
    <t>Closing spot 28-Feb-2025</t>
  </si>
  <si>
    <t>Market Reference Discounted</t>
  </si>
  <si>
    <t>Current Ceiling/Floor invoiced</t>
  </si>
  <si>
    <t>Subsidy</t>
  </si>
  <si>
    <t>New Price</t>
  </si>
  <si>
    <t>According to contract only use last month's bill as reference not an average of the period</t>
  </si>
  <si>
    <t>Phase 1</t>
  </si>
  <si>
    <t>Phase 2</t>
  </si>
  <si>
    <t>Esclation</t>
  </si>
  <si>
    <r>
      <rPr>
        <b/>
        <sz val="11"/>
        <color theme="0"/>
        <rFont val="Aptos Narrow"/>
        <charset val="134"/>
        <scheme val="minor"/>
      </rPr>
      <t xml:space="preserve">Year </t>
    </r>
    <r>
      <rPr>
        <b/>
        <u/>
        <sz val="11"/>
        <color theme="0"/>
        <rFont val="Aptos Narrow"/>
        <charset val="134"/>
        <scheme val="minor"/>
      </rPr>
      <t>ended</t>
    </r>
  </si>
  <si>
    <t>COD Phase 1 - 17 October 2018</t>
  </si>
  <si>
    <t>Initial Term reset according to SSA Amendment clause 2.2</t>
  </si>
  <si>
    <t>Extract of Amended PPA for Phase 2 -2nd Amendment</t>
  </si>
  <si>
    <t>COD Phase 2 - 3 May 2024</t>
  </si>
  <si>
    <t>SSA does not speak to the escaltion indexation dates being reset inline with Phase II COD therefore assume we continue using Ocotber as Base Date escaltion</t>
  </si>
  <si>
    <t>Extract of Amended PPA for Phase 2 - 1st Amendment</t>
  </si>
  <si>
    <t>Extract of Orignial PPA v1</t>
  </si>
  <si>
    <t>Zafira</t>
  </si>
  <si>
    <t>GRID REFERENCE PRICE</t>
  </si>
  <si>
    <t>GENERATOR REFERENCE PRICE</t>
  </si>
  <si>
    <t xml:space="preserve">Grid Reference Price </t>
  </si>
  <si>
    <t xml:space="preserve">Diesel Fuel Price </t>
  </si>
  <si>
    <t>why is this not completed?</t>
  </si>
  <si>
    <t>Average price</t>
  </si>
  <si>
    <t>NGN/KWh</t>
  </si>
  <si>
    <t>Grid Reference Discounted</t>
  </si>
  <si>
    <t>Generator Reference Discounted</t>
  </si>
  <si>
    <t>GRID REFERENCE PRICING</t>
  </si>
  <si>
    <t>Average Price PY</t>
  </si>
  <si>
    <t>Average Price CY</t>
  </si>
  <si>
    <t>NO MIN or MAX PRICE ALWAYS CHARGE DISCOUNTED MRP</t>
  </si>
  <si>
    <t>GRID</t>
  </si>
  <si>
    <t>GENERATOR</t>
  </si>
  <si>
    <t>Xe.COM spot 31/03/2025</t>
  </si>
  <si>
    <t>Grid reference Price</t>
  </si>
  <si>
    <r>
      <rPr>
        <b/>
        <u/>
        <sz val="11"/>
        <color rgb="FFFF0000"/>
        <rFont val="Aptos Narrow"/>
        <charset val="134"/>
        <scheme val="minor"/>
      </rPr>
      <t>NOTE</t>
    </r>
    <r>
      <rPr>
        <b/>
        <sz val="11"/>
        <color rgb="FFFF0000"/>
        <rFont val="Aptos Narrow"/>
        <charset val="134"/>
        <scheme val="minor"/>
      </rPr>
      <t>: Primary source of Energy is GENERATOR (AGO and LNG). Site is NOT linked to the Grid hence only Generator Price</t>
    </r>
  </si>
  <si>
    <t>Prior year</t>
  </si>
  <si>
    <t>COD Phase 1</t>
  </si>
  <si>
    <t>COD Phase 2 - 1 January 2025. Term resets</t>
  </si>
  <si>
    <t>PPA Annexures - Exhibit C</t>
  </si>
  <si>
    <t>SSA Clauses</t>
  </si>
  <si>
    <t>SSA Annexures - Exhibit C</t>
  </si>
  <si>
    <t>Amendment 1 to PPA</t>
  </si>
  <si>
    <t>GRID REFERENCE PRICING -PS</t>
  </si>
  <si>
    <t>GRID REFERENCE PRICING -PPL</t>
  </si>
  <si>
    <t>GRID REFERENCE PRICING -PTB1</t>
  </si>
  <si>
    <t>GRID REFERENCE PRICING -PTB2</t>
  </si>
  <si>
    <t>We used the other warehouse rates, as tehse bills were unavailable</t>
  </si>
  <si>
    <t>Sage FX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</si>
</sst>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1">
    <numFmt numFmtId="43" formatCode="_-* #,##0.00_-;\-* #,##0.00_-;_-* &quot;-&quot;??_-;_-@_-"/>
    <numFmt numFmtId="164" formatCode="_(* #,##0.00_);_(* \(#,##0.00\);_(* &quot;-&quot;??_);_(@_)"/>
    <numFmt numFmtId="165" formatCode="_(&quot;$&quot;* #,##0.00_);_(&quot;$&quot;* \(#,##0.00\);_(&quot;$&quot;* &quot;-&quot;??_);_(@_)"/>
    <numFmt numFmtId="166" formatCode="dd&quot; &quot;mmm&quot; &quot;yyyy&quot; &quot;;&quot;(&quot;0&quot;)&quot;;&quot;-  &quot;;&quot; &quot;@&quot; &quot;"/>
    <numFmt numFmtId="167" formatCode="dd&quot; &quot;mmm&quot; &quot;yy&quot; &quot;;&quot;(&quot;0&quot;)&quot;;&quot;-  &quot;;&quot; &quot;@&quot; &quot;"/>
    <numFmt numFmtId="168" formatCode="#,##0.0000&quot; &quot;;&quot;(&quot;#,##0.0000&quot;)&quot;;&quot;-  &quot;;&quot; &quot;@&quot; &quot;"/>
    <numFmt numFmtId="169" formatCode="#,##0&quot; &quot;;&quot;(&quot;#,##0&quot;)&quot;;&quot;-  &quot;;&quot; &quot;@&quot; &quot;"/>
    <numFmt numFmtId="170" formatCode="0.00%&quot; &quot;;&quot;(&quot;0.00&quot;)&quot;%&quot; &quot;;&quot;-  &quot;;&quot; &quot;@&quot; &quot;"/>
    <numFmt numFmtId="171" formatCode="0&quot; &quot;;&quot;(&quot;0&quot;)&quot;;&quot;-  &quot;;&quot; &quot;@&quot; &quot;"/>
    <numFmt numFmtId="172" formatCode="_-* #,##0.0000_-;\-* #,##0.0000_-;_-* &quot;-&quot;??_-;_-@_-"/>
    <numFmt numFmtId="173" formatCode="_-[$$-409]* #,##0.0000_ ;_-[$$-409]* \-#,##0.0000\ ;_-[$$-409]* &quot;-&quot;????_ ;_-@_ "/>
    <numFmt numFmtId="174" formatCode="_(* #,##0.0000_);_(* \(#,##0.0000\);_(* &quot;-&quot;??_);_(@_)"/>
    <numFmt numFmtId="175" formatCode="_-[$$-409]* #,##0.0000_ ;_-[$$-409]* \-#,##0.0000\ ;_-[$$-409]* &quot;-&quot;??_ ;_-@_ "/>
    <numFmt numFmtId="176" formatCode="[$-1C09]dd\ mmmm\ yyyy;@"/>
    <numFmt numFmtId="177" formatCode="_-* #,##0.000_-;\-* #,##0.000_-;_-* &quot;-&quot;??_-;_-@_-"/>
    <numFmt numFmtId="178" formatCode="0.0%"/>
    <numFmt numFmtId="179" formatCode="_([$$-409]* #,##0.0000_);_([$$-409]* \(#,##0.0000\);_([$$-409]* &quot;-&quot;??_);_(@_)"/>
    <numFmt numFmtId="180" formatCode="_-* #,##0.0000_-;\-* #,##0.0000_-;_-* &quot;-&quot;????_-;_-@_-"/>
    <numFmt numFmtId="181" formatCode="_-[$$-1009]* #,##0.0000_-;\-[$$-1009]* #,##0.0000_-;_-[$$-1009]* &quot;-&quot;??_-;_-@_-"/>
    <numFmt numFmtId="182" formatCode="0.000"/>
    <numFmt numFmtId="183" formatCode="_-[$$-409]* #,##0.00_ ;_-[$$-409]* \-#,##0.00\ ;_-[$$-409]* &quot;-&quot;??_ ;_-@_ "/>
    <numFmt numFmtId="184" formatCode="_-* #,##0.00000_-;\-* #,##0.00000_-;_-* &quot;-&quot;??_-;_-@_-"/>
    <numFmt numFmtId="185" formatCode="0.0000"/>
    <numFmt numFmtId="186" formatCode="_-* #,##0.0000_-;\-* #,##0.0000_-;_-* &quot;-&quot;???_-;_-@_-"/>
    <numFmt numFmtId="187" formatCode="_(* #,##0.00000_);_(* \(#,##0.00000\);_(* &quot;-&quot;??_);_(@_)"/>
    <numFmt numFmtId="188" formatCode="_-* #,##0_-;\-* #,##0_-;_-* &quot;-&quot;??_-;_-@_-"/>
    <numFmt numFmtId="189" formatCode="_(* #,##0_);_(* \(#,##0\);_(* &quot;-&quot;??_);_(@_)"/>
    <numFmt numFmtId="190" formatCode="#0.000"/>
    <numFmt numFmtId="191" formatCode="[$KES]\ #,##0.000"/>
    <numFmt numFmtId="192" formatCode="[$GHS]\ #,##0.000"/>
    <numFmt numFmtId="193" formatCode="[$NGN]\ #,##0.00"/>
  </numFmts>
  <fonts count="33">
    <font>
      <sz val="11"/>
      <color theme="1"/>
      <name val="Aptos Narrow"/>
      <charset val="134"/>
      <scheme val="minor"/>
    </font>
    <font>
      <b/>
      <sz val="11"/>
      <color theme="0"/>
      <name val="Aptos Narrow"/>
      <charset val="134"/>
      <scheme val="minor"/>
    </font>
    <font>
      <b/>
      <sz val="11"/>
      <color theme="1"/>
      <name val="Aptos Narrow"/>
      <charset val="134"/>
      <scheme val="minor"/>
    </font>
    <font>
      <b/>
      <sz val="11"/>
      <color rgb="FFFF0000"/>
      <name val="Aptos Narrow"/>
      <charset val="134"/>
      <scheme val="minor"/>
    </font>
    <font>
      <b/>
      <sz val="10"/>
      <color rgb="FFFF0000"/>
      <name val="Calibri"/>
      <charset val="134"/>
    </font>
    <font>
      <sz val="11"/>
      <color theme="9"/>
      <name val="Aptos Narrow"/>
      <charset val="134"/>
      <scheme val="minor"/>
    </font>
    <font>
      <sz val="11"/>
      <color rgb="FFFF0000"/>
      <name val="Aptos Narrow"/>
      <charset val="134"/>
      <scheme val="minor"/>
    </font>
    <font>
      <u/>
      <sz val="11"/>
      <color theme="10"/>
      <name val="Aptos Narrow"/>
      <charset val="134"/>
      <scheme val="minor"/>
    </font>
    <font>
      <sz val="10"/>
      <color theme="1"/>
      <name val="Aptos Narrow"/>
      <charset val="134"/>
      <scheme val="minor"/>
    </font>
    <font>
      <b/>
      <sz val="10"/>
      <color theme="1"/>
      <name val="Aptos Narrow"/>
      <charset val="134"/>
      <scheme val="minor"/>
    </font>
    <font>
      <sz val="10"/>
      <color theme="1"/>
      <name val="Calibri"/>
      <charset val="134"/>
    </font>
    <font>
      <b/>
      <sz val="12"/>
      <color indexed="8"/>
      <name val="Arial"/>
      <charset val="134"/>
    </font>
    <font>
      <b/>
      <sz val="10"/>
      <color indexed="8"/>
      <name val="Arial"/>
      <charset val="134"/>
    </font>
    <font>
      <sz val="10"/>
      <color indexed="8"/>
      <name val="Arial"/>
      <charset val="134"/>
    </font>
    <font>
      <b/>
      <sz val="11"/>
      <color theme="1"/>
      <name val="Calibri"/>
      <charset val="134"/>
    </font>
    <font>
      <sz val="10"/>
      <color rgb="FF000000"/>
      <name val="Tahoma"/>
      <charset val="134"/>
    </font>
    <font>
      <b/>
      <u/>
      <sz val="11"/>
      <color theme="1"/>
      <name val="Aptos Narrow"/>
      <charset val="134"/>
      <scheme val="minor"/>
    </font>
    <font>
      <b/>
      <sz val="10"/>
      <color theme="1"/>
      <name val="Calibri"/>
      <charset val="134"/>
    </font>
    <font>
      <b/>
      <sz val="10"/>
      <color theme="0"/>
      <name val="Calibri"/>
      <charset val="134"/>
    </font>
    <font>
      <b/>
      <sz val="10"/>
      <color rgb="FF000000"/>
      <name val="Calibri"/>
      <charset val="134"/>
    </font>
    <font>
      <sz val="10"/>
      <color rgb="FF000000"/>
      <name val="Calibri"/>
      <charset val="134"/>
    </font>
    <font>
      <sz val="10"/>
      <name val="Calibri"/>
      <charset val="134"/>
    </font>
    <font>
      <sz val="10"/>
      <color rgb="FFFF0000"/>
      <name val="Calibri"/>
      <charset val="134"/>
    </font>
    <font>
      <b/>
      <sz val="10"/>
      <color theme="4" tint="-0.249977111117893"/>
      <name val="Calibri"/>
      <charset val="134"/>
    </font>
    <font>
      <sz val="11"/>
      <color theme="1"/>
      <name val="Aptos Narrow"/>
      <charset val="134"/>
      <scheme val="minor"/>
    </font>
    <font>
      <sz val="11"/>
      <color theme="1"/>
      <name val="Calibri"/>
      <charset val="134"/>
    </font>
    <font>
      <sz val="11"/>
      <color rgb="FF000000"/>
      <name val="Helvetica"/>
      <charset val="134"/>
    </font>
    <font>
      <u/>
      <sz val="11"/>
      <color theme="10"/>
      <name val="Calibri"/>
      <charset val="134"/>
    </font>
    <font>
      <sz val="11"/>
      <color indexed="8"/>
      <name val="Aptos Narrow"/>
      <charset val="134"/>
      <scheme val="minor"/>
    </font>
    <font>
      <b/>
      <u/>
      <sz val="11"/>
      <color theme="0"/>
      <name val="Aptos Narrow"/>
      <charset val="134"/>
      <scheme val="minor"/>
    </font>
    <font>
      <b/>
      <u/>
      <sz val="11"/>
      <color rgb="FFFF0000"/>
      <name val="Aptos Narrow"/>
      <charset val="134"/>
      <scheme val="minor"/>
    </font>
    <font>
      <b/>
      <sz val="9"/>
      <name val="Tahoma"/>
      <charset val="134"/>
    </font>
    <font>
      <sz val="9"/>
      <name val="Tahoma"/>
      <charset val="134"/>
    </font>
  </fonts>
  <fills count="19">
    <fill>
      <patternFill patternType="none"/>
    </fill>
    <fill>
      <patternFill patternType="gray125"/>
    </fill>
    <fill>
      <patternFill patternType="solid">
        <fgColor theme="3"/>
        <bgColor indexed="64"/>
      </patternFill>
    </fill>
    <fill>
      <patternFill patternType="solid">
        <fgColor theme="4"/>
        <bgColor indexed="64"/>
      </patternFill>
    </fill>
    <fill>
      <patternFill patternType="solid">
        <fgColor theme="4" tint="0.79995117038483843"/>
        <bgColor indexed="64"/>
      </patternFill>
    </fill>
    <fill>
      <patternFill patternType="solid">
        <fgColor rgb="FFFFFF00"/>
        <bgColor indexed="64"/>
      </patternFill>
    </fill>
    <fill>
      <patternFill patternType="solid">
        <fgColor theme="2" tint="-9.9978637043366805E-2"/>
        <bgColor indexed="64"/>
      </patternFill>
    </fill>
    <fill>
      <patternFill patternType="solid">
        <fgColor theme="6" tint="0.79995117038483843"/>
        <bgColor indexed="64"/>
      </patternFill>
    </fill>
    <fill>
      <patternFill patternType="solid">
        <fgColor theme="3" tint="0.89996032593768116"/>
        <bgColor indexed="64"/>
      </patternFill>
    </fill>
    <fill>
      <patternFill patternType="solid">
        <fgColor theme="5" tint="0.79995117038483843"/>
        <bgColor indexed="64"/>
      </patternFill>
    </fill>
    <fill>
      <patternFill patternType="solid">
        <fgColor theme="0" tint="-4.9989318521683403E-2"/>
        <bgColor indexed="64"/>
      </patternFill>
    </fill>
    <fill>
      <patternFill patternType="solid">
        <fgColor theme="0"/>
        <bgColor indexed="64"/>
      </patternFill>
    </fill>
    <fill>
      <patternFill patternType="solid">
        <fgColor theme="9" tint="0.79995117038483843"/>
        <bgColor indexed="64"/>
      </patternFill>
    </fill>
    <fill>
      <patternFill patternType="solid">
        <fgColor theme="7" tint="0.79995117038483843"/>
        <bgColor indexed="64"/>
      </patternFill>
    </fill>
    <fill>
      <patternFill patternType="solid">
        <fgColor theme="0" tint="-0.34998626667073579"/>
        <bgColor indexed="64"/>
      </patternFill>
    </fill>
    <fill>
      <patternFill patternType="solid">
        <fgColor rgb="FFC00000"/>
        <bgColor indexed="64"/>
      </patternFill>
    </fill>
    <fill>
      <patternFill patternType="solid">
        <fgColor theme="0" tint="-0.14996795556505021"/>
        <bgColor indexed="64"/>
      </patternFill>
    </fill>
    <fill>
      <patternFill patternType="solid">
        <fgColor theme="1" tint="0.499984740745262"/>
        <bgColor indexed="64"/>
      </patternFill>
    </fill>
    <fill>
      <patternFill patternType="solid">
        <fgColor rgb="FFFFFFCC"/>
        <bgColor indexed="64"/>
      </patternFill>
    </fill>
  </fills>
  <borders count="55">
    <border>
      <left/>
      <right/>
      <top/>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medium">
        <color auto="1"/>
      </left>
      <right/>
      <top style="medium">
        <color auto="1"/>
      </top>
      <bottom/>
      <diagonal/>
    </border>
    <border>
      <left/>
      <right/>
      <top style="medium">
        <color auto="1"/>
      </top>
      <bottom/>
      <diagonal/>
    </border>
    <border>
      <left/>
      <right style="thin">
        <color auto="1"/>
      </right>
      <top style="medium">
        <color auto="1"/>
      </top>
      <bottom/>
      <diagonal/>
    </border>
    <border>
      <left style="thin">
        <color auto="1"/>
      </left>
      <right/>
      <top style="medium">
        <color auto="1"/>
      </top>
      <bottom/>
      <diagonal/>
    </border>
    <border>
      <left style="medium">
        <color auto="1"/>
      </left>
      <right/>
      <top/>
      <bottom/>
      <diagonal/>
    </border>
    <border>
      <left style="medium">
        <color auto="1"/>
      </left>
      <right/>
      <top/>
      <bottom style="medium">
        <color auto="1"/>
      </bottom>
      <diagonal/>
    </border>
    <border>
      <left/>
      <right/>
      <top/>
      <bottom style="medium">
        <color auto="1"/>
      </bottom>
      <diagonal/>
    </border>
    <border>
      <left/>
      <right style="thin">
        <color auto="1"/>
      </right>
      <top/>
      <bottom style="medium">
        <color auto="1"/>
      </bottom>
      <diagonal/>
    </border>
    <border>
      <left style="thin">
        <color auto="1"/>
      </left>
      <right/>
      <top/>
      <bottom style="medium">
        <color auto="1"/>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medium">
        <color auto="1"/>
      </left>
      <right style="medium">
        <color auto="1"/>
      </right>
      <top style="medium">
        <color auto="1"/>
      </top>
      <bottom style="medium">
        <color auto="1"/>
      </bottom>
      <diagonal/>
    </border>
    <border>
      <left style="medium">
        <color rgb="FFFF0000"/>
      </left>
      <right style="medium">
        <color rgb="FFFF0000"/>
      </right>
      <top style="medium">
        <color rgb="FFFF0000"/>
      </top>
      <bottom style="medium">
        <color rgb="FFFF0000"/>
      </bottom>
      <diagonal/>
    </border>
    <border>
      <left/>
      <right style="medium">
        <color auto="1"/>
      </right>
      <top style="medium">
        <color auto="1"/>
      </top>
      <bottom/>
      <diagonal/>
    </border>
    <border>
      <left/>
      <right style="medium">
        <color auto="1"/>
      </right>
      <top/>
      <bottom/>
      <diagonal/>
    </border>
    <border>
      <left/>
      <right style="medium">
        <color auto="1"/>
      </right>
      <top/>
      <bottom style="medium">
        <color auto="1"/>
      </bottom>
      <diagonal/>
    </border>
    <border>
      <left style="medium">
        <color auto="1"/>
      </left>
      <right/>
      <top style="medium">
        <color auto="1"/>
      </top>
      <bottom style="thin">
        <color auto="1"/>
      </bottom>
      <diagonal/>
    </border>
    <border>
      <left/>
      <right/>
      <top style="medium">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mediumDashed">
        <color auto="1"/>
      </bottom>
      <diagonal/>
    </border>
    <border>
      <left/>
      <right/>
      <top style="mediumDashed">
        <color auto="1"/>
      </top>
      <bottom/>
      <diagonal/>
    </border>
    <border>
      <left style="thick">
        <color rgb="FFFF0000"/>
      </left>
      <right style="thick">
        <color rgb="FFFF0000"/>
      </right>
      <top style="thick">
        <color rgb="FFFF0000"/>
      </top>
      <bottom style="thick">
        <color rgb="FFFF0000"/>
      </bottom>
      <diagonal/>
    </border>
    <border>
      <left style="thin">
        <color auto="1"/>
      </left>
      <right style="thin">
        <color theme="0" tint="-0.34998626667073579"/>
      </right>
      <top style="thin">
        <color auto="1"/>
      </top>
      <bottom style="thin">
        <color theme="0" tint="-0.34998626667073579"/>
      </bottom>
      <diagonal/>
    </border>
    <border>
      <left style="thin">
        <color theme="0" tint="-0.34998626667073579"/>
      </left>
      <right style="thin">
        <color theme="0" tint="-0.34998626667073579"/>
      </right>
      <top style="thin">
        <color auto="1"/>
      </top>
      <bottom style="thin">
        <color theme="0" tint="-0.34998626667073579"/>
      </bottom>
      <diagonal/>
    </border>
    <border>
      <left style="thin">
        <color theme="0" tint="-0.34998626667073579"/>
      </left>
      <right style="thin">
        <color auto="1"/>
      </right>
      <top style="thin">
        <color auto="1"/>
      </top>
      <bottom style="thin">
        <color theme="0" tint="-0.34998626667073579"/>
      </bottom>
      <diagonal/>
    </border>
    <border>
      <left style="thin">
        <color auto="1"/>
      </left>
      <right style="thin">
        <color theme="0" tint="-0.34998626667073579"/>
      </right>
      <top style="thin">
        <color theme="0" tint="-0.34998626667073579"/>
      </top>
      <bottom style="thin">
        <color theme="0" tint="-0.34998626667073579"/>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34998626667073579"/>
      </left>
      <right style="thin">
        <color auto="1"/>
      </right>
      <top style="thin">
        <color theme="0" tint="-0.34998626667073579"/>
      </top>
      <bottom style="thin">
        <color theme="0" tint="-0.34998626667073579"/>
      </bottom>
      <diagonal/>
    </border>
    <border>
      <left style="thin">
        <color auto="1"/>
      </left>
      <right style="thin">
        <color theme="0" tint="-0.34998626667073579"/>
      </right>
      <top style="thin">
        <color theme="0" tint="-0.34998626667073579"/>
      </top>
      <bottom style="thin">
        <color auto="1"/>
      </bottom>
      <diagonal/>
    </border>
    <border>
      <left style="thin">
        <color theme="0" tint="-0.34998626667073579"/>
      </left>
      <right style="thin">
        <color theme="0" tint="-0.34998626667073579"/>
      </right>
      <top style="thin">
        <color theme="0" tint="-0.34998626667073579"/>
      </top>
      <bottom style="thin">
        <color auto="1"/>
      </bottom>
      <diagonal/>
    </border>
    <border>
      <left style="thin">
        <color theme="0" tint="-0.34998626667073579"/>
      </left>
      <right style="thin">
        <color auto="1"/>
      </right>
      <top style="thin">
        <color theme="0" tint="-0.34998626667073579"/>
      </top>
      <bottom style="thin">
        <color auto="1"/>
      </bottom>
      <diagonal/>
    </border>
    <border>
      <left style="thin">
        <color auto="1"/>
      </left>
      <right style="thin">
        <color theme="0" tint="-0.34998626667073579"/>
      </right>
      <top/>
      <bottom style="thin">
        <color theme="0" tint="-0.34998626667073579"/>
      </bottom>
      <diagonal/>
    </border>
    <border>
      <left style="thin">
        <color theme="0" tint="-0.34998626667073579"/>
      </left>
      <right style="thin">
        <color theme="0" tint="-0.34998626667073579"/>
      </right>
      <top/>
      <bottom style="thin">
        <color theme="0" tint="-0.34998626667073579"/>
      </bottom>
      <diagonal/>
    </border>
    <border>
      <left style="thin">
        <color theme="0" tint="-0.34998626667073579"/>
      </left>
      <right style="thin">
        <color auto="1"/>
      </right>
      <top/>
      <bottom style="thin">
        <color theme="0" tint="-0.34998626667073579"/>
      </bottom>
      <diagonal/>
    </border>
    <border>
      <left style="medium">
        <color auto="1"/>
      </left>
      <right/>
      <top style="medium">
        <color auto="1"/>
      </top>
      <bottom style="medium">
        <color auto="1"/>
      </bottom>
      <diagonal/>
    </border>
    <border>
      <left/>
      <right/>
      <top style="medium">
        <color auto="1"/>
      </top>
      <bottom style="medium">
        <color auto="1"/>
      </bottom>
      <diagonal/>
    </border>
    <border>
      <left/>
      <right/>
      <top/>
      <bottom style="thick">
        <color auto="1"/>
      </bottom>
      <diagonal/>
    </border>
    <border>
      <left/>
      <right style="medium">
        <color auto="1"/>
      </right>
      <top style="medium">
        <color auto="1"/>
      </top>
      <bottom style="medium">
        <color auto="1"/>
      </bottom>
      <diagonal/>
    </border>
    <border>
      <left style="thin">
        <color rgb="FFFF0000"/>
      </left>
      <right style="thin">
        <color rgb="FFFF0000"/>
      </right>
      <top style="thin">
        <color rgb="FFFF0000"/>
      </top>
      <bottom style="thin">
        <color rgb="FFFF0000"/>
      </bottom>
      <diagonal/>
    </border>
    <border>
      <left/>
      <right style="thick">
        <color rgb="FFFF0000"/>
      </right>
      <top/>
      <bottom/>
      <diagonal/>
    </border>
    <border>
      <left style="thick">
        <color rgb="FFFF0000"/>
      </left>
      <right style="thick">
        <color rgb="FFFF0000"/>
      </right>
      <top style="thick">
        <color rgb="FFFF0000"/>
      </top>
      <bottom style="thin">
        <color auto="1"/>
      </bottom>
      <diagonal/>
    </border>
    <border>
      <left style="thin">
        <color rgb="FFB2B2B2"/>
      </left>
      <right style="thin">
        <color rgb="FFB2B2B2"/>
      </right>
      <top style="thin">
        <color rgb="FFB2B2B2"/>
      </top>
      <bottom style="thin">
        <color rgb="FFB2B2B2"/>
      </bottom>
      <diagonal/>
    </border>
  </borders>
  <cellStyleXfs count="25">
    <xf numFmtId="0" fontId="0" fillId="0" borderId="0"/>
    <xf numFmtId="164" fontId="24" fillId="0" borderId="0" applyFont="0" applyFill="0" applyBorder="0" applyAlignment="0" applyProtection="0"/>
    <xf numFmtId="9" fontId="24" fillId="0" borderId="0" applyFont="0" applyFill="0" applyBorder="0" applyAlignment="0" applyProtection="0"/>
    <xf numFmtId="0" fontId="7" fillId="0" borderId="0" applyNumberFormat="0" applyFill="0" applyBorder="0" applyAlignment="0" applyProtection="0"/>
    <xf numFmtId="164" fontId="24" fillId="0" borderId="0" applyFont="0" applyFill="0" applyBorder="0" applyAlignment="0" applyProtection="0"/>
    <xf numFmtId="164" fontId="25" fillId="0" borderId="0" applyFont="0" applyFill="0" applyBorder="0" applyAlignment="0" applyProtection="0"/>
    <xf numFmtId="164" fontId="24" fillId="0" borderId="0" applyFont="0" applyFill="0" applyBorder="0" applyAlignment="0" applyProtection="0"/>
    <xf numFmtId="165" fontId="25" fillId="0" borderId="0" applyFont="0" applyFill="0" applyBorder="0" applyAlignment="0" applyProtection="0"/>
    <xf numFmtId="166" fontId="26" fillId="0" borderId="0" applyFont="0" applyFill="0" applyBorder="0" applyProtection="0">
      <alignment vertical="top"/>
    </xf>
    <xf numFmtId="166" fontId="26" fillId="0" borderId="0" applyFont="0" applyFill="0" applyBorder="0" applyProtection="0">
      <alignment vertical="top"/>
    </xf>
    <xf numFmtId="167" fontId="26" fillId="0" borderId="0" applyFont="0" applyFill="0" applyBorder="0" applyProtection="0">
      <alignment vertical="top"/>
    </xf>
    <xf numFmtId="168" fontId="26" fillId="0" borderId="0" applyFont="0" applyFill="0" applyBorder="0" applyProtection="0">
      <alignment vertical="top"/>
    </xf>
    <xf numFmtId="0" fontId="7" fillId="0" borderId="0" applyNumberFormat="0" applyFill="0" applyBorder="0" applyAlignment="0" applyProtection="0"/>
    <xf numFmtId="0" fontId="27" fillId="0" borderId="0" applyNumberFormat="0" applyFill="0" applyBorder="0" applyAlignment="0" applyProtection="0"/>
    <xf numFmtId="169" fontId="26" fillId="0" borderId="0" applyFont="0" applyFill="0" applyBorder="0" applyProtection="0">
      <alignment vertical="top"/>
    </xf>
    <xf numFmtId="0" fontId="26" fillId="0" borderId="0"/>
    <xf numFmtId="0" fontId="24" fillId="0" borderId="0"/>
    <xf numFmtId="0" fontId="28" fillId="0" borderId="0"/>
    <xf numFmtId="0" fontId="24" fillId="0" borderId="0"/>
    <xf numFmtId="0" fontId="25" fillId="0" borderId="0"/>
    <xf numFmtId="0" fontId="24" fillId="18" borderId="54" applyNumberFormat="0" applyFont="0" applyAlignment="0" applyProtection="0"/>
    <xf numFmtId="170" fontId="26" fillId="0" borderId="0" applyFont="0" applyFill="0" applyBorder="0" applyProtection="0">
      <alignment vertical="top"/>
    </xf>
    <xf numFmtId="9" fontId="24" fillId="0" borderId="0" applyFont="0" applyFill="0" applyBorder="0" applyAlignment="0" applyProtection="0"/>
    <xf numFmtId="9" fontId="25" fillId="0" borderId="0" applyFont="0" applyFill="0" applyBorder="0" applyAlignment="0" applyProtection="0"/>
    <xf numFmtId="171" fontId="26" fillId="0" borderId="0" applyFont="0" applyFill="0" applyBorder="0" applyProtection="0">
      <alignment vertical="top"/>
    </xf>
  </cellStyleXfs>
  <cellXfs count="411">
    <xf numFmtId="0" fontId="0" fillId="0" borderId="0" xfId="0"/>
    <xf numFmtId="0" fontId="0" fillId="0" borderId="4" xfId="0" applyBorder="1"/>
    <xf numFmtId="0" fontId="0" fillId="0" borderId="5" xfId="0" applyBorder="1"/>
    <xf numFmtId="0" fontId="1" fillId="3" borderId="4" xfId="0" applyFont="1" applyFill="1" applyBorder="1" applyAlignment="1">
      <alignment horizontal="center"/>
    </xf>
    <xf numFmtId="0" fontId="1" fillId="3" borderId="0" xfId="0" applyFont="1" applyFill="1" applyAlignment="1">
      <alignment horizontal="center"/>
    </xf>
    <xf numFmtId="0" fontId="1" fillId="3" borderId="5" xfId="0" applyFont="1" applyFill="1" applyBorder="1" applyAlignment="1">
      <alignment horizontal="center"/>
    </xf>
    <xf numFmtId="15" fontId="0" fillId="4" borderId="6" xfId="0" applyNumberFormat="1" applyFill="1" applyBorder="1"/>
    <xf numFmtId="172" fontId="0" fillId="0" borderId="7" xfId="1" applyNumberFormat="1" applyFont="1" applyBorder="1"/>
    <xf numFmtId="172" fontId="2" fillId="0" borderId="8" xfId="1" applyNumberFormat="1" applyFont="1" applyBorder="1"/>
    <xf numFmtId="164" fontId="0" fillId="0" borderId="8" xfId="1" applyFont="1" applyFill="1" applyBorder="1"/>
    <xf numFmtId="15" fontId="0" fillId="4" borderId="9" xfId="0" applyNumberFormat="1" applyFill="1" applyBorder="1"/>
    <xf numFmtId="15" fontId="0" fillId="4" borderId="10" xfId="0" applyNumberFormat="1" applyFill="1" applyBorder="1"/>
    <xf numFmtId="172" fontId="0" fillId="0" borderId="0" xfId="1" applyNumberFormat="1" applyFont="1" applyBorder="1"/>
    <xf numFmtId="172" fontId="2" fillId="0" borderId="5" xfId="1" applyNumberFormat="1" applyFont="1" applyBorder="1"/>
    <xf numFmtId="164" fontId="0" fillId="0" borderId="5" xfId="1" applyFont="1" applyFill="1" applyBorder="1"/>
    <xf numFmtId="15" fontId="0" fillId="4" borderId="4" xfId="0" applyNumberFormat="1" applyFill="1" applyBorder="1"/>
    <xf numFmtId="15" fontId="0" fillId="4" borderId="11" xfId="0" applyNumberFormat="1" applyFill="1" applyBorder="1"/>
    <xf numFmtId="172" fontId="0" fillId="0" borderId="12" xfId="1" applyNumberFormat="1" applyFont="1" applyBorder="1"/>
    <xf numFmtId="172" fontId="2" fillId="0" borderId="13" xfId="1" applyNumberFormat="1" applyFont="1" applyBorder="1"/>
    <xf numFmtId="164" fontId="0" fillId="0" borderId="13" xfId="1" applyFont="1" applyFill="1" applyBorder="1"/>
    <xf numFmtId="15" fontId="0" fillId="4" borderId="14" xfId="0" applyNumberFormat="1" applyFill="1" applyBorder="1"/>
    <xf numFmtId="164" fontId="0" fillId="0" borderId="0" xfId="1" applyFont="1" applyFill="1" applyBorder="1"/>
    <xf numFmtId="15" fontId="0" fillId="4" borderId="15" xfId="0" applyNumberFormat="1" applyFill="1" applyBorder="1"/>
    <xf numFmtId="172" fontId="0" fillId="0" borderId="16" xfId="1" applyNumberFormat="1" applyFont="1" applyBorder="1"/>
    <xf numFmtId="172" fontId="2" fillId="0" borderId="17" xfId="1" applyNumberFormat="1" applyFont="1" applyBorder="1"/>
    <xf numFmtId="15" fontId="0" fillId="0" borderId="0" xfId="0" applyNumberFormat="1"/>
    <xf numFmtId="172" fontId="0" fillId="0" borderId="0" xfId="1" applyNumberFormat="1" applyFont="1" applyFill="1"/>
    <xf numFmtId="172" fontId="2" fillId="0" borderId="0" xfId="1" applyNumberFormat="1" applyFont="1" applyFill="1"/>
    <xf numFmtId="172" fontId="3" fillId="5" borderId="18" xfId="1" applyNumberFormat="1" applyFont="1" applyFill="1" applyBorder="1"/>
    <xf numFmtId="0" fontId="0" fillId="6" borderId="0" xfId="0" applyFill="1"/>
    <xf numFmtId="0" fontId="0" fillId="6" borderId="0" xfId="0" applyFill="1" applyAlignment="1">
      <alignment horizontal="center"/>
    </xf>
    <xf numFmtId="15" fontId="0" fillId="6" borderId="0" xfId="0" applyNumberFormat="1" applyFill="1"/>
    <xf numFmtId="173" fontId="0" fillId="6" borderId="0" xfId="0" applyNumberFormat="1" applyFill="1"/>
    <xf numFmtId="0" fontId="0" fillId="6" borderId="0" xfId="1" applyNumberFormat="1" applyFont="1" applyFill="1"/>
    <xf numFmtId="10" fontId="0" fillId="6" borderId="0" xfId="0" applyNumberFormat="1" applyFill="1"/>
    <xf numFmtId="173" fontId="2" fillId="6" borderId="0" xfId="0" applyNumberFormat="1" applyFont="1" applyFill="1"/>
    <xf numFmtId="174" fontId="0" fillId="7" borderId="19" xfId="1" applyNumberFormat="1" applyFont="1" applyFill="1" applyBorder="1"/>
    <xf numFmtId="164" fontId="0" fillId="0" borderId="0" xfId="0" applyNumberFormat="1"/>
    <xf numFmtId="0" fontId="2" fillId="6" borderId="0" xfId="0" applyFont="1" applyFill="1" applyAlignment="1">
      <alignment horizontal="right"/>
    </xf>
    <xf numFmtId="15" fontId="4" fillId="5" borderId="18" xfId="0" applyNumberFormat="1" applyFont="1" applyFill="1" applyBorder="1"/>
    <xf numFmtId="0" fontId="1" fillId="2" borderId="0" xfId="0" applyFont="1" applyFill="1"/>
    <xf numFmtId="0" fontId="0" fillId="0" borderId="7" xfId="0" applyBorder="1"/>
    <xf numFmtId="0" fontId="0" fillId="0" borderId="12" xfId="0" applyBorder="1"/>
    <xf numFmtId="164" fontId="0" fillId="0" borderId="0" xfId="1" applyFont="1"/>
    <xf numFmtId="0" fontId="2" fillId="0" borderId="0" xfId="0" applyFont="1"/>
    <xf numFmtId="0" fontId="1" fillId="2" borderId="0" xfId="0" applyFont="1" applyFill="1" applyAlignment="1">
      <alignment horizontal="center"/>
    </xf>
    <xf numFmtId="43" fontId="0" fillId="0" borderId="0" xfId="0" applyNumberFormat="1"/>
    <xf numFmtId="0" fontId="0" fillId="0" borderId="0" xfId="0" applyAlignment="1">
      <alignment horizontal="center"/>
    </xf>
    <xf numFmtId="0" fontId="0" fillId="8" borderId="0" xfId="0" applyFill="1" applyAlignment="1">
      <alignment horizontal="center"/>
    </xf>
    <xf numFmtId="175" fontId="0" fillId="8" borderId="0" xfId="0" applyNumberFormat="1" applyFill="1"/>
    <xf numFmtId="175" fontId="0" fillId="0" borderId="0" xfId="0" applyNumberFormat="1"/>
    <xf numFmtId="172" fontId="0" fillId="0" borderId="0" xfId="0" applyNumberFormat="1"/>
    <xf numFmtId="172" fontId="2" fillId="0" borderId="20" xfId="1" applyNumberFormat="1" applyFont="1" applyBorder="1"/>
    <xf numFmtId="172" fontId="2" fillId="0" borderId="21" xfId="1" applyNumberFormat="1" applyFont="1" applyBorder="1"/>
    <xf numFmtId="172" fontId="2" fillId="0" borderId="22" xfId="1" applyNumberFormat="1" applyFont="1" applyBorder="1"/>
    <xf numFmtId="172" fontId="5" fillId="0" borderId="0" xfId="1" applyNumberFormat="1" applyFont="1" applyBorder="1"/>
    <xf numFmtId="176" fontId="2" fillId="5" borderId="0" xfId="0" applyNumberFormat="1" applyFont="1" applyFill="1"/>
    <xf numFmtId="0" fontId="2" fillId="5" borderId="0" xfId="0" applyFont="1" applyFill="1"/>
    <xf numFmtId="15" fontId="0" fillId="8" borderId="0" xfId="0" applyNumberFormat="1" applyFill="1"/>
    <xf numFmtId="10" fontId="0" fillId="8" borderId="0" xfId="0" applyNumberFormat="1" applyFill="1"/>
    <xf numFmtId="10" fontId="0" fillId="0" borderId="0" xfId="0" applyNumberFormat="1"/>
    <xf numFmtId="0" fontId="0" fillId="0" borderId="25" xfId="0" applyBorder="1" applyAlignment="1">
      <alignment horizontal="center"/>
    </xf>
    <xf numFmtId="15" fontId="0" fillId="0" borderId="26" xfId="0" applyNumberFormat="1" applyBorder="1"/>
    <xf numFmtId="164" fontId="0" fillId="0" borderId="2" xfId="1" applyFont="1" applyFill="1" applyBorder="1"/>
    <xf numFmtId="164" fontId="0" fillId="0" borderId="3" xfId="1" applyFont="1" applyFill="1" applyBorder="1"/>
    <xf numFmtId="164" fontId="2" fillId="0" borderId="2" xfId="0" applyNumberFormat="1" applyFont="1" applyBorder="1"/>
    <xf numFmtId="15" fontId="0" fillId="0" borderId="27" xfId="0" applyNumberFormat="1" applyBorder="1"/>
    <xf numFmtId="164" fontId="0" fillId="0" borderId="0" xfId="1" applyFont="1" applyFill="1"/>
    <xf numFmtId="164" fontId="2" fillId="0" borderId="0" xfId="0" applyNumberFormat="1" applyFont="1"/>
    <xf numFmtId="15" fontId="0" fillId="0" borderId="28" xfId="0" applyNumberFormat="1" applyBorder="1"/>
    <xf numFmtId="164" fontId="0" fillId="0" borderId="16" xfId="1" applyFont="1" applyFill="1" applyBorder="1"/>
    <xf numFmtId="164" fontId="0" fillId="0" borderId="17" xfId="1" applyFont="1" applyFill="1" applyBorder="1"/>
    <xf numFmtId="164" fontId="2" fillId="0" borderId="16" xfId="0" applyNumberFormat="1" applyFont="1" applyBorder="1"/>
    <xf numFmtId="15" fontId="0" fillId="4" borderId="26" xfId="0" applyNumberFormat="1" applyFill="1" applyBorder="1"/>
    <xf numFmtId="164" fontId="0" fillId="0" borderId="2" xfId="1" applyFont="1" applyBorder="1"/>
    <xf numFmtId="164" fontId="0" fillId="0" borderId="3" xfId="1" applyFont="1" applyBorder="1"/>
    <xf numFmtId="15" fontId="0" fillId="4" borderId="27" xfId="0" applyNumberFormat="1" applyFill="1" applyBorder="1"/>
    <xf numFmtId="164" fontId="0" fillId="0" borderId="0" xfId="1" applyFont="1" applyBorder="1"/>
    <xf numFmtId="164" fontId="0" fillId="0" borderId="5" xfId="1" applyFont="1" applyBorder="1"/>
    <xf numFmtId="15" fontId="0" fillId="4" borderId="28" xfId="0" applyNumberFormat="1" applyFill="1" applyBorder="1"/>
    <xf numFmtId="164" fontId="0" fillId="0" borderId="16" xfId="1" applyFont="1" applyBorder="1"/>
    <xf numFmtId="164" fontId="0" fillId="0" borderId="17" xfId="1" applyFont="1" applyBorder="1"/>
    <xf numFmtId="16" fontId="0" fillId="0" borderId="0" xfId="0" applyNumberFormat="1"/>
    <xf numFmtId="177" fontId="6" fillId="5" borderId="18" xfId="1" applyNumberFormat="1" applyFont="1" applyFill="1" applyBorder="1"/>
    <xf numFmtId="9" fontId="0" fillId="0" borderId="0" xfId="2" applyFont="1" applyAlignment="1">
      <alignment horizontal="center"/>
    </xf>
    <xf numFmtId="15" fontId="0" fillId="6" borderId="0" xfId="0" applyNumberFormat="1" applyFill="1" applyAlignment="1">
      <alignment horizontal="left"/>
    </xf>
    <xf numFmtId="164" fontId="0" fillId="6" borderId="0" xfId="1" applyFont="1" applyFill="1"/>
    <xf numFmtId="178" fontId="0" fillId="6" borderId="0" xfId="0" applyNumberFormat="1" applyFill="1"/>
    <xf numFmtId="0" fontId="3" fillId="6" borderId="0" xfId="0" applyFont="1" applyFill="1"/>
    <xf numFmtId="179" fontId="2" fillId="7" borderId="19" xfId="1" applyNumberFormat="1" applyFont="1" applyFill="1" applyBorder="1"/>
    <xf numFmtId="164" fontId="2" fillId="7" borderId="19" xfId="1" applyFont="1" applyFill="1" applyBorder="1"/>
    <xf numFmtId="178" fontId="0" fillId="0" borderId="0" xfId="0" applyNumberFormat="1"/>
    <xf numFmtId="177" fontId="0" fillId="0" borderId="0" xfId="0" applyNumberFormat="1"/>
    <xf numFmtId="164" fontId="2" fillId="0" borderId="3" xfId="0" applyNumberFormat="1" applyFont="1" applyBorder="1"/>
    <xf numFmtId="164" fontId="2" fillId="0" borderId="5" xfId="0" applyNumberFormat="1" applyFont="1" applyBorder="1"/>
    <xf numFmtId="164" fontId="2" fillId="0" borderId="17" xfId="0" applyNumberFormat="1" applyFont="1" applyBorder="1"/>
    <xf numFmtId="0" fontId="0" fillId="0" borderId="2" xfId="0" applyBorder="1"/>
    <xf numFmtId="0" fontId="0" fillId="0" borderId="16" xfId="0" applyBorder="1"/>
    <xf numFmtId="164" fontId="3" fillId="5" borderId="18" xfId="0" applyNumberFormat="1" applyFont="1" applyFill="1" applyBorder="1"/>
    <xf numFmtId="164" fontId="0" fillId="7" borderId="19" xfId="1" applyFont="1" applyFill="1" applyBorder="1"/>
    <xf numFmtId="0" fontId="0" fillId="5" borderId="0" xfId="0" applyFill="1"/>
    <xf numFmtId="15" fontId="0" fillId="4" borderId="1" xfId="0" applyNumberFormat="1" applyFill="1" applyBorder="1"/>
    <xf numFmtId="172" fontId="0" fillId="0" borderId="2" xfId="1" applyNumberFormat="1" applyFont="1" applyBorder="1"/>
    <xf numFmtId="172" fontId="2" fillId="0" borderId="3" xfId="1" applyNumberFormat="1" applyFont="1" applyBorder="1"/>
    <xf numFmtId="164" fontId="0" fillId="7" borderId="27" xfId="1" applyFont="1" applyFill="1" applyBorder="1"/>
    <xf numFmtId="164" fontId="0" fillId="7" borderId="28" xfId="1" applyFont="1" applyFill="1" applyBorder="1"/>
    <xf numFmtId="172" fontId="0" fillId="0" borderId="0" xfId="1" applyNumberFormat="1" applyFont="1" applyFill="1" applyBorder="1"/>
    <xf numFmtId="172" fontId="0" fillId="0" borderId="0" xfId="1" applyNumberFormat="1" applyFont="1"/>
    <xf numFmtId="0" fontId="3" fillId="5" borderId="0" xfId="0" applyFont="1" applyFill="1"/>
    <xf numFmtId="180" fontId="0" fillId="0" borderId="0" xfId="0" applyNumberFormat="1"/>
    <xf numFmtId="0" fontId="2" fillId="0" borderId="0" xfId="0" applyFont="1" applyAlignment="1">
      <alignment horizontal="center"/>
    </xf>
    <xf numFmtId="172" fontId="0" fillId="6" borderId="0" xfId="0" applyNumberFormat="1" applyFill="1"/>
    <xf numFmtId="0" fontId="7" fillId="6" borderId="0" xfId="3" applyFill="1"/>
    <xf numFmtId="9" fontId="0" fillId="6" borderId="0" xfId="0" applyNumberFormat="1" applyFill="1"/>
    <xf numFmtId="181" fontId="0" fillId="6" borderId="0" xfId="0" applyNumberFormat="1" applyFill="1"/>
    <xf numFmtId="0" fontId="2" fillId="6" borderId="0" xfId="0" applyFont="1" applyFill="1"/>
    <xf numFmtId="15" fontId="0" fillId="7" borderId="25" xfId="0" applyNumberFormat="1" applyFill="1" applyBorder="1"/>
    <xf numFmtId="164" fontId="0" fillId="7" borderId="29" xfId="1" applyFont="1" applyFill="1" applyBorder="1"/>
    <xf numFmtId="164" fontId="2" fillId="7" borderId="30" xfId="0" applyNumberFormat="1" applyFont="1" applyFill="1" applyBorder="1"/>
    <xf numFmtId="164" fontId="0" fillId="7" borderId="30" xfId="1" applyFont="1" applyFill="1" applyBorder="1"/>
    <xf numFmtId="164" fontId="0" fillId="7" borderId="31" xfId="1" applyFont="1" applyFill="1" applyBorder="1"/>
    <xf numFmtId="182" fontId="2" fillId="5" borderId="18" xfId="0" applyNumberFormat="1" applyFont="1" applyFill="1" applyBorder="1"/>
    <xf numFmtId="0" fontId="8" fillId="6" borderId="0" xfId="0" applyFont="1" applyFill="1" applyAlignment="1">
      <alignment horizontal="center"/>
    </xf>
    <xf numFmtId="0" fontId="8" fillId="6" borderId="0" xfId="0" applyFont="1" applyFill="1"/>
    <xf numFmtId="15" fontId="8" fillId="6" borderId="0" xfId="0" applyNumberFormat="1" applyFont="1" applyFill="1"/>
    <xf numFmtId="173" fontId="8" fillId="6" borderId="0" xfId="0" applyNumberFormat="1" applyFont="1" applyFill="1"/>
    <xf numFmtId="172" fontId="8" fillId="6" borderId="0" xfId="1" applyNumberFormat="1" applyFont="1" applyFill="1"/>
    <xf numFmtId="183" fontId="0" fillId="0" borderId="0" xfId="0" applyNumberFormat="1"/>
    <xf numFmtId="9" fontId="8" fillId="6" borderId="0" xfId="0" applyNumberFormat="1" applyFont="1" applyFill="1"/>
    <xf numFmtId="0" fontId="9" fillId="6" borderId="0" xfId="0" applyFont="1" applyFill="1"/>
    <xf numFmtId="177" fontId="9" fillId="6" borderId="0" xfId="1" applyNumberFormat="1" applyFont="1" applyFill="1"/>
    <xf numFmtId="177" fontId="8" fillId="6" borderId="0" xfId="1" applyNumberFormat="1" applyFont="1" applyFill="1"/>
    <xf numFmtId="164" fontId="0" fillId="6" borderId="0" xfId="1" applyFont="1" applyFill="1" applyBorder="1"/>
    <xf numFmtId="2" fontId="2" fillId="5" borderId="31" xfId="0" applyNumberFormat="1" applyFont="1" applyFill="1" applyBorder="1"/>
    <xf numFmtId="0" fontId="3" fillId="0" borderId="0" xfId="0" applyFont="1"/>
    <xf numFmtId="0" fontId="9" fillId="0" borderId="0" xfId="0" applyFont="1"/>
    <xf numFmtId="177" fontId="8" fillId="0" borderId="0" xfId="1" applyNumberFormat="1" applyFont="1" applyFill="1"/>
    <xf numFmtId="15" fontId="0" fillId="0" borderId="1" xfId="0" applyNumberFormat="1" applyBorder="1"/>
    <xf numFmtId="172" fontId="2" fillId="0" borderId="2" xfId="1" applyNumberFormat="1" applyFont="1" applyBorder="1"/>
    <xf numFmtId="15" fontId="0" fillId="0" borderId="4" xfId="0" applyNumberFormat="1" applyBorder="1"/>
    <xf numFmtId="172" fontId="2" fillId="0" borderId="0" xfId="1" applyNumberFormat="1" applyFont="1" applyBorder="1"/>
    <xf numFmtId="15" fontId="0" fillId="0" borderId="15" xfId="0" applyNumberFormat="1" applyBorder="1"/>
    <xf numFmtId="172" fontId="2" fillId="0" borderId="16" xfId="1" applyNumberFormat="1" applyFont="1" applyBorder="1"/>
    <xf numFmtId="172" fontId="0" fillId="0" borderId="2" xfId="1" applyNumberFormat="1" applyFont="1" applyFill="1" applyBorder="1"/>
    <xf numFmtId="172" fontId="2" fillId="0" borderId="2" xfId="1" applyNumberFormat="1" applyFont="1" applyFill="1" applyBorder="1"/>
    <xf numFmtId="172" fontId="2" fillId="0" borderId="0" xfId="1" applyNumberFormat="1" applyFont="1" applyFill="1" applyBorder="1"/>
    <xf numFmtId="172" fontId="0" fillId="0" borderId="16" xfId="1" applyNumberFormat="1" applyFont="1" applyFill="1" applyBorder="1"/>
    <xf numFmtId="172" fontId="2" fillId="0" borderId="16" xfId="1" applyNumberFormat="1" applyFont="1" applyFill="1" applyBorder="1"/>
    <xf numFmtId="172" fontId="0" fillId="4" borderId="2" xfId="1" applyNumberFormat="1" applyFont="1" applyFill="1" applyBorder="1"/>
    <xf numFmtId="172" fontId="2" fillId="4" borderId="2" xfId="1" applyNumberFormat="1" applyFont="1" applyFill="1" applyBorder="1"/>
    <xf numFmtId="172" fontId="0" fillId="4" borderId="0" xfId="1" applyNumberFormat="1" applyFont="1" applyFill="1" applyBorder="1"/>
    <xf numFmtId="172" fontId="2" fillId="4" borderId="0" xfId="1" applyNumberFormat="1" applyFont="1" applyFill="1" applyBorder="1"/>
    <xf numFmtId="172" fontId="0" fillId="4" borderId="16" xfId="1" applyNumberFormat="1" applyFont="1" applyFill="1" applyBorder="1"/>
    <xf numFmtId="172" fontId="2" fillId="4" borderId="16" xfId="1" applyNumberFormat="1" applyFont="1" applyFill="1" applyBorder="1"/>
    <xf numFmtId="184" fontId="2" fillId="5" borderId="18" xfId="0" applyNumberFormat="1" applyFont="1" applyFill="1" applyBorder="1"/>
    <xf numFmtId="185" fontId="0" fillId="6" borderId="0" xfId="0" applyNumberFormat="1" applyFill="1"/>
    <xf numFmtId="172" fontId="0" fillId="6" borderId="19" xfId="1" applyNumberFormat="1" applyFont="1" applyFill="1" applyBorder="1"/>
    <xf numFmtId="178" fontId="2" fillId="6" borderId="0" xfId="2" applyNumberFormat="1" applyFont="1" applyFill="1" applyBorder="1"/>
    <xf numFmtId="0" fontId="10" fillId="7" borderId="25" xfId="0" applyFont="1" applyFill="1" applyBorder="1" applyAlignment="1">
      <alignment horizontal="left"/>
    </xf>
    <xf numFmtId="186" fontId="0" fillId="6" borderId="0" xfId="0" applyNumberFormat="1" applyFill="1"/>
    <xf numFmtId="172" fontId="0" fillId="0" borderId="3" xfId="1" applyNumberFormat="1" applyFont="1" applyBorder="1"/>
    <xf numFmtId="172" fontId="0" fillId="0" borderId="5" xfId="1" applyNumberFormat="1" applyFont="1" applyBorder="1"/>
    <xf numFmtId="172" fontId="0" fillId="0" borderId="17" xfId="1" applyNumberFormat="1" applyFont="1" applyBorder="1"/>
    <xf numFmtId="172" fontId="0" fillId="0" borderId="3" xfId="1" applyNumberFormat="1" applyFont="1" applyFill="1" applyBorder="1"/>
    <xf numFmtId="164" fontId="0" fillId="7" borderId="0" xfId="1" applyFont="1" applyFill="1"/>
    <xf numFmtId="172" fontId="0" fillId="0" borderId="5" xfId="1" applyNumberFormat="1" applyFont="1" applyFill="1" applyBorder="1"/>
    <xf numFmtId="172" fontId="0" fillId="0" borderId="17" xfId="1" applyNumberFormat="1" applyFont="1" applyFill="1" applyBorder="1"/>
    <xf numFmtId="172" fontId="0" fillId="4" borderId="3" xfId="1" applyNumberFormat="1" applyFont="1" applyFill="1" applyBorder="1"/>
    <xf numFmtId="172" fontId="0" fillId="4" borderId="5" xfId="1" applyNumberFormat="1" applyFont="1" applyFill="1" applyBorder="1"/>
    <xf numFmtId="172" fontId="0" fillId="4" borderId="17" xfId="1" applyNumberFormat="1" applyFont="1" applyFill="1" applyBorder="1"/>
    <xf numFmtId="10" fontId="0" fillId="0" borderId="0" xfId="2" applyNumberFormat="1" applyFont="1"/>
    <xf numFmtId="15" fontId="2" fillId="5" borderId="0" xfId="0" applyNumberFormat="1" applyFont="1" applyFill="1"/>
    <xf numFmtId="1" fontId="0" fillId="0" borderId="0" xfId="0" applyNumberFormat="1" applyAlignment="1">
      <alignment horizontal="center"/>
    </xf>
    <xf numFmtId="176" fontId="0" fillId="0" borderId="0" xfId="0" applyNumberFormat="1"/>
    <xf numFmtId="185" fontId="0" fillId="0" borderId="0" xfId="0" applyNumberFormat="1"/>
    <xf numFmtId="187" fontId="0" fillId="0" borderId="0" xfId="0" applyNumberFormat="1"/>
    <xf numFmtId="0" fontId="0" fillId="2" borderId="0" xfId="0" applyFill="1"/>
    <xf numFmtId="0" fontId="6" fillId="0" borderId="0" xfId="0" applyFont="1" applyAlignment="1">
      <alignment horizontal="right"/>
    </xf>
    <xf numFmtId="185" fontId="0" fillId="0" borderId="32" xfId="0" applyNumberFormat="1" applyBorder="1"/>
    <xf numFmtId="0" fontId="0" fillId="0" borderId="32" xfId="0" applyBorder="1" applyAlignment="1">
      <alignment horizontal="center"/>
    </xf>
    <xf numFmtId="10" fontId="0" fillId="0" borderId="32" xfId="0" applyNumberFormat="1" applyBorder="1"/>
    <xf numFmtId="176" fontId="0" fillId="0" borderId="32" xfId="0" applyNumberFormat="1" applyBorder="1"/>
    <xf numFmtId="0" fontId="0" fillId="0" borderId="33" xfId="0" applyBorder="1" applyAlignment="1">
      <alignment horizontal="center"/>
    </xf>
    <xf numFmtId="185" fontId="0" fillId="8" borderId="0" xfId="0" applyNumberFormat="1" applyFill="1"/>
    <xf numFmtId="1" fontId="0" fillId="8" borderId="0" xfId="0" applyNumberFormat="1" applyFill="1" applyAlignment="1">
      <alignment horizontal="center"/>
    </xf>
    <xf numFmtId="176" fontId="0" fillId="8" borderId="0" xfId="0" applyNumberFormat="1" applyFill="1"/>
    <xf numFmtId="177" fontId="2" fillId="5" borderId="18" xfId="1" applyNumberFormat="1" applyFont="1" applyFill="1" applyBorder="1"/>
    <xf numFmtId="9" fontId="6" fillId="0" borderId="0" xfId="2" applyFont="1"/>
    <xf numFmtId="172" fontId="0" fillId="7" borderId="19" xfId="1" applyNumberFormat="1" applyFont="1" applyFill="1" applyBorder="1"/>
    <xf numFmtId="172" fontId="0" fillId="6" borderId="0" xfId="1" applyNumberFormat="1" applyFont="1" applyFill="1"/>
    <xf numFmtId="185" fontId="2" fillId="6" borderId="0" xfId="1" applyNumberFormat="1" applyFont="1" applyFill="1"/>
    <xf numFmtId="172" fontId="2" fillId="0" borderId="0" xfId="1" applyNumberFormat="1" applyFont="1"/>
    <xf numFmtId="0" fontId="2" fillId="0" borderId="0" xfId="0" applyFont="1" applyAlignment="1">
      <alignment horizontal="right"/>
    </xf>
    <xf numFmtId="0" fontId="0" fillId="0" borderId="0" xfId="0" applyAlignment="1">
      <alignment horizontal="right"/>
    </xf>
    <xf numFmtId="0" fontId="0" fillId="4" borderId="2" xfId="0" applyFill="1" applyBorder="1"/>
    <xf numFmtId="0" fontId="0" fillId="4" borderId="3" xfId="0" applyFill="1" applyBorder="1"/>
    <xf numFmtId="0" fontId="0" fillId="4" borderId="0" xfId="0" applyFill="1"/>
    <xf numFmtId="0" fontId="0" fillId="4" borderId="5" xfId="0" applyFill="1" applyBorder="1"/>
    <xf numFmtId="0" fontId="0" fillId="4" borderId="16" xfId="0" applyFill="1" applyBorder="1"/>
    <xf numFmtId="0" fontId="0" fillId="4" borderId="17" xfId="0" applyFill="1" applyBorder="1"/>
    <xf numFmtId="9" fontId="0" fillId="0" borderId="0" xfId="0" applyNumberFormat="1"/>
    <xf numFmtId="173" fontId="0" fillId="8" borderId="34" xfId="0" applyNumberFormat="1" applyFill="1" applyBorder="1"/>
    <xf numFmtId="173" fontId="0" fillId="0" borderId="0" xfId="0" applyNumberFormat="1"/>
    <xf numFmtId="9" fontId="0" fillId="0" borderId="25" xfId="2" applyFont="1" applyBorder="1" applyAlignment="1">
      <alignment horizontal="center"/>
    </xf>
    <xf numFmtId="0" fontId="9" fillId="0" borderId="26" xfId="0" applyFont="1" applyBorder="1" applyAlignment="1">
      <alignment horizontal="center"/>
    </xf>
    <xf numFmtId="172" fontId="8" fillId="9" borderId="35" xfId="1" applyNumberFormat="1" applyFont="1" applyFill="1" applyBorder="1"/>
    <xf numFmtId="172" fontId="8" fillId="9" borderId="36" xfId="1" applyNumberFormat="1" applyFont="1" applyFill="1" applyBorder="1"/>
    <xf numFmtId="172" fontId="8" fillId="9" borderId="37" xfId="1" applyNumberFormat="1" applyFont="1" applyFill="1" applyBorder="1"/>
    <xf numFmtId="180" fontId="2" fillId="0" borderId="25" xfId="0" applyNumberFormat="1" applyFont="1" applyBorder="1"/>
    <xf numFmtId="188" fontId="8" fillId="9" borderId="35" xfId="1" applyNumberFormat="1" applyFont="1" applyFill="1" applyBorder="1"/>
    <xf numFmtId="188" fontId="8" fillId="9" borderId="36" xfId="1" applyNumberFormat="1" applyFont="1" applyFill="1" applyBorder="1"/>
    <xf numFmtId="188" fontId="8" fillId="9" borderId="37" xfId="1" applyNumberFormat="1" applyFont="1" applyFill="1" applyBorder="1"/>
    <xf numFmtId="189" fontId="2" fillId="0" borderId="2" xfId="0" applyNumberFormat="1" applyFont="1" applyBorder="1"/>
    <xf numFmtId="172" fontId="8" fillId="9" borderId="38" xfId="1" applyNumberFormat="1" applyFont="1" applyFill="1" applyBorder="1"/>
    <xf numFmtId="172" fontId="8" fillId="9" borderId="39" xfId="1" applyNumberFormat="1" applyFont="1" applyFill="1" applyBorder="1"/>
    <xf numFmtId="172" fontId="8" fillId="9" borderId="40" xfId="1" applyNumberFormat="1" applyFont="1" applyFill="1" applyBorder="1"/>
    <xf numFmtId="188" fontId="8" fillId="9" borderId="38" xfId="1" applyNumberFormat="1" applyFont="1" applyFill="1" applyBorder="1"/>
    <xf numFmtId="188" fontId="8" fillId="9" borderId="39" xfId="1" applyNumberFormat="1" applyFont="1" applyFill="1" applyBorder="1"/>
    <xf numFmtId="188" fontId="8" fillId="9" borderId="40" xfId="1" applyNumberFormat="1" applyFont="1" applyFill="1" applyBorder="1"/>
    <xf numFmtId="189" fontId="2" fillId="0" borderId="0" xfId="0" applyNumberFormat="1" applyFont="1"/>
    <xf numFmtId="172" fontId="8" fillId="9" borderId="41" xfId="1" applyNumberFormat="1" applyFont="1" applyFill="1" applyBorder="1"/>
    <xf numFmtId="172" fontId="8" fillId="9" borderId="42" xfId="1" applyNumberFormat="1" applyFont="1" applyFill="1" applyBorder="1"/>
    <xf numFmtId="172" fontId="8" fillId="9" borderId="43" xfId="1" applyNumberFormat="1" applyFont="1" applyFill="1" applyBorder="1"/>
    <xf numFmtId="188" fontId="8" fillId="9" borderId="41" xfId="1" applyNumberFormat="1" applyFont="1" applyFill="1" applyBorder="1"/>
    <xf numFmtId="188" fontId="8" fillId="9" borderId="42" xfId="1" applyNumberFormat="1" applyFont="1" applyFill="1" applyBorder="1"/>
    <xf numFmtId="188" fontId="8" fillId="9" borderId="43" xfId="1" applyNumberFormat="1" applyFont="1" applyFill="1" applyBorder="1"/>
    <xf numFmtId="189" fontId="2" fillId="0" borderId="16" xfId="0" applyNumberFormat="1" applyFont="1" applyBorder="1"/>
    <xf numFmtId="172" fontId="8" fillId="9" borderId="44" xfId="1" applyNumberFormat="1" applyFont="1" applyFill="1" applyBorder="1"/>
    <xf numFmtId="172" fontId="8" fillId="9" borderId="45" xfId="1" applyNumberFormat="1" applyFont="1" applyFill="1" applyBorder="1"/>
    <xf numFmtId="172" fontId="8" fillId="9" borderId="46" xfId="1" applyNumberFormat="1" applyFont="1" applyFill="1" applyBorder="1"/>
    <xf numFmtId="180" fontId="2" fillId="0" borderId="28" xfId="0" applyNumberFormat="1" applyFont="1" applyBorder="1"/>
    <xf numFmtId="188" fontId="8" fillId="9" borderId="44" xfId="1" applyNumberFormat="1" applyFont="1" applyFill="1" applyBorder="1"/>
    <xf numFmtId="188" fontId="8" fillId="9" borderId="45" xfId="1" applyNumberFormat="1" applyFont="1" applyFill="1" applyBorder="1"/>
    <xf numFmtId="188" fontId="8" fillId="9" borderId="46" xfId="1" applyNumberFormat="1" applyFont="1" applyFill="1" applyBorder="1"/>
    <xf numFmtId="0" fontId="6" fillId="0" borderId="0" xfId="0" applyFont="1" applyAlignment="1">
      <alignment horizontal="left"/>
    </xf>
    <xf numFmtId="164" fontId="0" fillId="0" borderId="1" xfId="0" applyNumberFormat="1" applyBorder="1"/>
    <xf numFmtId="164" fontId="0" fillId="0" borderId="2" xfId="0" applyNumberFormat="1" applyBorder="1"/>
    <xf numFmtId="164" fontId="0" fillId="0" borderId="3" xfId="0" applyNumberFormat="1" applyBorder="1"/>
    <xf numFmtId="9" fontId="0" fillId="9" borderId="2" xfId="0" applyNumberFormat="1" applyFill="1" applyBorder="1" applyAlignment="1">
      <alignment horizontal="center"/>
    </xf>
    <xf numFmtId="174" fontId="2" fillId="0" borderId="3" xfId="0" applyNumberFormat="1" applyFont="1" applyBorder="1"/>
    <xf numFmtId="164" fontId="0" fillId="0" borderId="4" xfId="0" applyNumberFormat="1" applyBorder="1"/>
    <xf numFmtId="164" fontId="0" fillId="0" borderId="5" xfId="0" applyNumberFormat="1" applyBorder="1"/>
    <xf numFmtId="9" fontId="0" fillId="9" borderId="0" xfId="0" applyNumberFormat="1" applyFill="1" applyAlignment="1">
      <alignment horizontal="center"/>
    </xf>
    <xf numFmtId="174" fontId="2" fillId="0" borderId="5" xfId="0" applyNumberFormat="1" applyFont="1" applyBorder="1"/>
    <xf numFmtId="164" fontId="0" fillId="0" borderId="15" xfId="0" applyNumberFormat="1" applyBorder="1"/>
    <xf numFmtId="164" fontId="0" fillId="0" borderId="16" xfId="0" applyNumberFormat="1" applyBorder="1"/>
    <xf numFmtId="164" fontId="0" fillId="0" borderId="17" xfId="0" applyNumberFormat="1" applyBorder="1"/>
    <xf numFmtId="9" fontId="0" fillId="9" borderId="16" xfId="0" applyNumberFormat="1" applyFill="1" applyBorder="1" applyAlignment="1">
      <alignment horizontal="center"/>
    </xf>
    <xf numFmtId="174" fontId="2" fillId="0" borderId="17" xfId="0" applyNumberFormat="1" applyFont="1" applyBorder="1"/>
    <xf numFmtId="174" fontId="2" fillId="0" borderId="0" xfId="0" applyNumberFormat="1" applyFont="1"/>
    <xf numFmtId="172" fontId="2" fillId="10" borderId="2" xfId="1" applyNumberFormat="1" applyFont="1" applyFill="1" applyBorder="1"/>
    <xf numFmtId="172" fontId="2" fillId="10" borderId="0" xfId="1" applyNumberFormat="1" applyFont="1" applyFill="1" applyBorder="1"/>
    <xf numFmtId="172" fontId="2" fillId="10" borderId="16" xfId="1" applyNumberFormat="1" applyFont="1" applyFill="1" applyBorder="1"/>
    <xf numFmtId="15" fontId="0" fillId="11" borderId="0" xfId="0" applyNumberFormat="1" applyFill="1"/>
    <xf numFmtId="172" fontId="0" fillId="11" borderId="0" xfId="1" applyNumberFormat="1" applyFont="1" applyFill="1" applyBorder="1"/>
    <xf numFmtId="172" fontId="2" fillId="11" borderId="0" xfId="1" applyNumberFormat="1" applyFont="1" applyFill="1" applyBorder="1"/>
    <xf numFmtId="0" fontId="12" fillId="0" borderId="0" xfId="0" applyFont="1" applyAlignment="1">
      <alignment horizontal="left" vertical="top" wrapText="1"/>
    </xf>
    <xf numFmtId="0" fontId="12" fillId="0" borderId="0" xfId="0" applyFont="1" applyAlignment="1">
      <alignment horizontal="center" vertical="top"/>
    </xf>
    <xf numFmtId="0" fontId="13" fillId="0" borderId="0" xfId="0" applyFont="1" applyAlignment="1">
      <alignment vertical="top"/>
    </xf>
    <xf numFmtId="0" fontId="12" fillId="0" borderId="0" xfId="0" applyFont="1" applyAlignment="1">
      <alignment horizontal="left" vertical="top"/>
    </xf>
    <xf numFmtId="0" fontId="12" fillId="0" borderId="49" xfId="0" applyFont="1" applyBorder="1" applyAlignment="1">
      <alignment horizontal="center" wrapText="1"/>
    </xf>
    <xf numFmtId="0" fontId="12" fillId="0" borderId="0" xfId="0" applyFont="1" applyAlignment="1">
      <alignment horizontal="center" wrapText="1"/>
    </xf>
    <xf numFmtId="0" fontId="12" fillId="0" borderId="0" xfId="0" applyFont="1" applyAlignment="1">
      <alignment horizontal="left"/>
    </xf>
    <xf numFmtId="190" fontId="13" fillId="0" borderId="0" xfId="0" applyNumberFormat="1" applyFont="1" applyAlignment="1">
      <alignment horizontal="right"/>
    </xf>
    <xf numFmtId="182" fontId="0" fillId="0" borderId="0" xfId="0" applyNumberFormat="1"/>
    <xf numFmtId="164" fontId="0" fillId="12" borderId="0" xfId="1" applyFont="1" applyFill="1"/>
    <xf numFmtId="0" fontId="0" fillId="12" borderId="0" xfId="0" applyFill="1"/>
    <xf numFmtId="0" fontId="12" fillId="13" borderId="0" xfId="0" applyFont="1" applyFill="1" applyAlignment="1">
      <alignment horizontal="left"/>
    </xf>
    <xf numFmtId="0" fontId="0" fillId="13" borderId="0" xfId="0" applyFill="1"/>
    <xf numFmtId="0" fontId="12" fillId="11" borderId="0" xfId="0" applyFont="1" applyFill="1" applyAlignment="1">
      <alignment horizontal="left"/>
    </xf>
    <xf numFmtId="0" fontId="0" fillId="11" borderId="0" xfId="0" applyFill="1"/>
    <xf numFmtId="164" fontId="0" fillId="11" borderId="0" xfId="1" applyFont="1" applyFill="1" applyBorder="1"/>
    <xf numFmtId="0" fontId="7" fillId="0" borderId="0" xfId="3"/>
    <xf numFmtId="0" fontId="15" fillId="0" borderId="0" xfId="0" applyFont="1" applyAlignment="1">
      <alignment horizontal="right" vertical="center" wrapText="1"/>
    </xf>
    <xf numFmtId="0" fontId="0" fillId="7" borderId="0" xfId="0" applyFill="1"/>
    <xf numFmtId="177" fontId="2" fillId="5" borderId="18" xfId="0" applyNumberFormat="1" applyFont="1" applyFill="1" applyBorder="1"/>
    <xf numFmtId="164" fontId="10" fillId="14" borderId="0" xfId="5" applyFont="1" applyFill="1"/>
    <xf numFmtId="177" fontId="2" fillId="12" borderId="19" xfId="1" applyNumberFormat="1" applyFont="1" applyFill="1" applyBorder="1"/>
    <xf numFmtId="9" fontId="0" fillId="0" borderId="0" xfId="2" applyFont="1"/>
    <xf numFmtId="0" fontId="0" fillId="6" borderId="0" xfId="0" applyFill="1" applyAlignment="1">
      <alignment horizontal="left"/>
    </xf>
    <xf numFmtId="177" fontId="0" fillId="6" borderId="0" xfId="1" applyNumberFormat="1" applyFont="1" applyFill="1"/>
    <xf numFmtId="0" fontId="2" fillId="6" borderId="0" xfId="0" applyFont="1" applyFill="1" applyAlignment="1">
      <alignment horizontal="left"/>
    </xf>
    <xf numFmtId="173" fontId="0" fillId="8" borderId="0" xfId="0" applyNumberFormat="1" applyFill="1"/>
    <xf numFmtId="10" fontId="0" fillId="7" borderId="0" xfId="0" applyNumberFormat="1" applyFill="1"/>
    <xf numFmtId="21" fontId="0" fillId="0" borderId="0" xfId="0" applyNumberFormat="1"/>
    <xf numFmtId="15" fontId="0" fillId="11" borderId="1" xfId="0" applyNumberFormat="1" applyFill="1" applyBorder="1"/>
    <xf numFmtId="164" fontId="0" fillId="11" borderId="2" xfId="1" applyFont="1" applyFill="1" applyBorder="1"/>
    <xf numFmtId="15" fontId="0" fillId="11" borderId="4" xfId="0" applyNumberFormat="1" applyFill="1" applyBorder="1"/>
    <xf numFmtId="15" fontId="0" fillId="11" borderId="15" xfId="0" applyNumberFormat="1" applyFill="1" applyBorder="1"/>
    <xf numFmtId="164" fontId="0" fillId="11" borderId="16" xfId="1" applyFont="1" applyFill="1" applyBorder="1"/>
    <xf numFmtId="15" fontId="0" fillId="8" borderId="1" xfId="0" applyNumberFormat="1" applyFill="1" applyBorder="1"/>
    <xf numFmtId="164" fontId="0" fillId="8" borderId="2" xfId="1" applyFont="1" applyFill="1" applyBorder="1"/>
    <xf numFmtId="15" fontId="0" fillId="8" borderId="4" xfId="0" applyNumberFormat="1" applyFill="1" applyBorder="1"/>
    <xf numFmtId="164" fontId="0" fillId="8" borderId="0" xfId="1" applyFont="1" applyFill="1" applyBorder="1"/>
    <xf numFmtId="15" fontId="0" fillId="8" borderId="15" xfId="0" applyNumberFormat="1" applyFill="1" applyBorder="1"/>
    <xf numFmtId="164" fontId="0" fillId="8" borderId="16" xfId="1" applyFont="1" applyFill="1" applyBorder="1"/>
    <xf numFmtId="172" fontId="2" fillId="5" borderId="18" xfId="0" applyNumberFormat="1" applyFont="1" applyFill="1" applyBorder="1"/>
    <xf numFmtId="164" fontId="2" fillId="0" borderId="3" xfId="1" applyFont="1" applyBorder="1"/>
    <xf numFmtId="164" fontId="2" fillId="0" borderId="5" xfId="1" applyFont="1" applyBorder="1"/>
    <xf numFmtId="164" fontId="2" fillId="11" borderId="3" xfId="1" applyFont="1" applyFill="1" applyBorder="1"/>
    <xf numFmtId="164" fontId="0" fillId="11" borderId="0" xfId="1" applyFont="1" applyFill="1"/>
    <xf numFmtId="164" fontId="2" fillId="11" borderId="5" xfId="1" applyFont="1" applyFill="1" applyBorder="1"/>
    <xf numFmtId="164" fontId="2" fillId="11" borderId="17" xfId="1" applyFont="1" applyFill="1" applyBorder="1"/>
    <xf numFmtId="164" fontId="2" fillId="8" borderId="3" xfId="1" applyFont="1" applyFill="1" applyBorder="1"/>
    <xf numFmtId="164" fontId="2" fillId="8" borderId="5" xfId="1" applyFont="1" applyFill="1" applyBorder="1"/>
    <xf numFmtId="164" fontId="2" fillId="8" borderId="17" xfId="1" applyFont="1" applyFill="1" applyBorder="1"/>
    <xf numFmtId="164" fontId="2" fillId="0" borderId="0" xfId="1" applyFont="1" applyBorder="1"/>
    <xf numFmtId="173" fontId="9" fillId="6" borderId="0" xfId="0" applyNumberFormat="1" applyFont="1" applyFill="1"/>
    <xf numFmtId="177" fontId="8" fillId="6" borderId="0" xfId="1" applyNumberFormat="1" applyFont="1" applyFill="1" applyBorder="1"/>
    <xf numFmtId="185" fontId="8" fillId="6" borderId="0" xfId="0" applyNumberFormat="1" applyFont="1" applyFill="1"/>
    <xf numFmtId="177" fontId="9" fillId="6" borderId="0" xfId="1" applyNumberFormat="1" applyFont="1" applyFill="1" applyBorder="1"/>
    <xf numFmtId="172" fontId="9" fillId="12" borderId="51" xfId="0" applyNumberFormat="1" applyFont="1" applyFill="1" applyBorder="1"/>
    <xf numFmtId="0" fontId="0" fillId="8" borderId="52" xfId="0" applyFill="1" applyBorder="1" applyAlignment="1">
      <alignment horizontal="center"/>
    </xf>
    <xf numFmtId="173" fontId="0" fillId="8" borderId="53" xfId="0" applyNumberFormat="1" applyFill="1" applyBorder="1"/>
    <xf numFmtId="0" fontId="16" fillId="0" borderId="0" xfId="0" applyFont="1"/>
    <xf numFmtId="175" fontId="0" fillId="0" borderId="0" xfId="0" applyNumberFormat="1" applyAlignment="1">
      <alignment horizontal="left"/>
    </xf>
    <xf numFmtId="2" fontId="0" fillId="0" borderId="0" xfId="0" applyNumberFormat="1"/>
    <xf numFmtId="0" fontId="10" fillId="0" borderId="0" xfId="0" applyFont="1" applyAlignment="1">
      <alignment vertical="center"/>
    </xf>
    <xf numFmtId="0" fontId="10" fillId="0" borderId="0" xfId="0" applyFont="1"/>
    <xf numFmtId="0" fontId="18" fillId="2" borderId="0" xfId="0" applyFont="1" applyFill="1" applyAlignment="1">
      <alignment horizontal="center" vertical="center"/>
    </xf>
    <xf numFmtId="0" fontId="17" fillId="0" borderId="25" xfId="0" applyFont="1" applyBorder="1"/>
    <xf numFmtId="169" fontId="19" fillId="0" borderId="25" xfId="14" applyFont="1" applyFill="1" applyBorder="1" applyAlignment="1">
      <alignment horizontal="left" vertical="center" wrapText="1"/>
    </xf>
    <xf numFmtId="169" fontId="20" fillId="0" borderId="25" xfId="14" applyFont="1" applyFill="1" applyBorder="1" applyAlignment="1">
      <alignment horizontal="left" vertical="center" wrapText="1"/>
    </xf>
    <xf numFmtId="169" fontId="7" fillId="0" borderId="25" xfId="3" applyNumberFormat="1" applyFill="1" applyBorder="1" applyAlignment="1">
      <alignment horizontal="left" vertical="center" wrapText="1"/>
    </xf>
    <xf numFmtId="15" fontId="21" fillId="0" borderId="25" xfId="0" applyNumberFormat="1" applyFont="1" applyBorder="1"/>
    <xf numFmtId="15" fontId="21" fillId="5" borderId="25" xfId="0" applyNumberFormat="1" applyFont="1" applyFill="1" applyBorder="1"/>
    <xf numFmtId="176" fontId="10" fillId="0" borderId="25" xfId="0" applyNumberFormat="1" applyFont="1" applyBorder="1"/>
    <xf numFmtId="0" fontId="10" fillId="0" borderId="25" xfId="0" applyFont="1" applyBorder="1" applyAlignment="1">
      <alignment horizontal="right"/>
    </xf>
    <xf numFmtId="169" fontId="19" fillId="0" borderId="25" xfId="14" applyFont="1" applyFill="1" applyBorder="1" applyAlignment="1">
      <alignment horizontal="left" vertical="center"/>
    </xf>
    <xf numFmtId="169" fontId="20" fillId="0" borderId="25" xfId="14" applyFont="1" applyFill="1" applyBorder="1" applyAlignment="1">
      <alignment horizontal="left" vertical="center"/>
    </xf>
    <xf numFmtId="169" fontId="7" fillId="0" borderId="25" xfId="3" applyNumberFormat="1" applyFill="1" applyBorder="1" applyAlignment="1">
      <alignment horizontal="left" vertical="center"/>
    </xf>
    <xf numFmtId="169" fontId="19" fillId="0" borderId="25" xfId="14" applyFont="1" applyBorder="1" applyAlignment="1">
      <alignment horizontal="left" vertical="center"/>
    </xf>
    <xf numFmtId="0" fontId="4" fillId="5" borderId="0" xfId="0" applyFont="1" applyFill="1" applyAlignment="1">
      <alignment horizontal="center" vertical="center" wrapText="1"/>
    </xf>
    <xf numFmtId="0" fontId="17" fillId="0" borderId="0" xfId="0" applyFont="1" applyAlignment="1">
      <alignment horizontal="center"/>
    </xf>
    <xf numFmtId="0" fontId="17" fillId="8" borderId="0" xfId="0" applyFont="1" applyFill="1" applyAlignment="1">
      <alignment horizontal="center"/>
    </xf>
    <xf numFmtId="0" fontId="18" fillId="2" borderId="0" xfId="0" applyFont="1" applyFill="1" applyAlignment="1">
      <alignment horizontal="center" vertical="center" wrapText="1"/>
    </xf>
    <xf numFmtId="0" fontId="18" fillId="0" borderId="0" xfId="0" applyFont="1" applyAlignment="1">
      <alignment horizontal="center" vertical="center" wrapText="1"/>
    </xf>
    <xf numFmtId="0" fontId="10" fillId="7" borderId="25" xfId="0" applyFont="1" applyFill="1" applyBorder="1" applyAlignment="1">
      <alignment horizontal="center"/>
    </xf>
    <xf numFmtId="0" fontId="10" fillId="15" borderId="25" xfId="0" applyFont="1" applyFill="1" applyBorder="1" applyAlignment="1">
      <alignment horizontal="center"/>
    </xf>
    <xf numFmtId="191" fontId="17" fillId="0" borderId="0" xfId="0" applyNumberFormat="1" applyFont="1" applyAlignment="1">
      <alignment horizontal="right"/>
    </xf>
    <xf numFmtId="191" fontId="10" fillId="0" borderId="25" xfId="0" applyNumberFormat="1" applyFont="1" applyBorder="1" applyAlignment="1">
      <alignment horizontal="right"/>
    </xf>
    <xf numFmtId="10" fontId="10" fillId="0" borderId="25" xfId="2" applyNumberFormat="1" applyFont="1" applyFill="1" applyBorder="1" applyAlignment="1">
      <alignment horizontal="right"/>
    </xf>
    <xf numFmtId="191" fontId="17" fillId="16" borderId="25" xfId="0" applyNumberFormat="1" applyFont="1" applyFill="1" applyBorder="1" applyAlignment="1">
      <alignment horizontal="right"/>
    </xf>
    <xf numFmtId="192" fontId="17" fillId="0" borderId="0" xfId="0" applyNumberFormat="1" applyFont="1" applyAlignment="1">
      <alignment horizontal="right"/>
    </xf>
    <xf numFmtId="192" fontId="10" fillId="0" borderId="25" xfId="0" applyNumberFormat="1" applyFont="1" applyBorder="1" applyAlignment="1">
      <alignment horizontal="right"/>
    </xf>
    <xf numFmtId="192" fontId="17" fillId="16" borderId="25" xfId="0" applyNumberFormat="1" applyFont="1" applyFill="1" applyBorder="1" applyAlignment="1">
      <alignment horizontal="right"/>
    </xf>
    <xf numFmtId="0" fontId="10" fillId="0" borderId="25" xfId="0" applyFont="1" applyBorder="1" applyAlignment="1">
      <alignment horizontal="center"/>
    </xf>
    <xf numFmtId="193" fontId="10" fillId="0" borderId="25" xfId="0" applyNumberFormat="1" applyFont="1" applyBorder="1" applyAlignment="1">
      <alignment horizontal="right"/>
    </xf>
    <xf numFmtId="193" fontId="17" fillId="16" borderId="25" xfId="0" applyNumberFormat="1" applyFont="1" applyFill="1" applyBorder="1" applyAlignment="1">
      <alignment horizontal="right"/>
    </xf>
    <xf numFmtId="164" fontId="10" fillId="0" borderId="25" xfId="1" applyFont="1" applyFill="1" applyBorder="1" applyAlignment="1">
      <alignment horizontal="right"/>
    </xf>
    <xf numFmtId="0" fontId="17" fillId="0" borderId="0" xfId="0" applyFont="1"/>
    <xf numFmtId="0" fontId="4" fillId="0" borderId="0" xfId="0" applyFont="1" applyAlignment="1">
      <alignment horizontal="center" vertical="center" wrapText="1"/>
    </xf>
    <xf numFmtId="175" fontId="10" fillId="0" borderId="25" xfId="0" applyNumberFormat="1" applyFont="1" applyBorder="1" applyAlignment="1">
      <alignment horizontal="right"/>
    </xf>
    <xf numFmtId="193" fontId="17" fillId="6" borderId="25" xfId="0" applyNumberFormat="1" applyFont="1" applyFill="1" applyBorder="1" applyAlignment="1">
      <alignment horizontal="right"/>
    </xf>
    <xf numFmtId="191" fontId="17" fillId="0" borderId="0" xfId="0" applyNumberFormat="1" applyFont="1" applyAlignment="1">
      <alignment horizontal="center"/>
    </xf>
    <xf numFmtId="164" fontId="10" fillId="0" borderId="0" xfId="1" applyFont="1"/>
    <xf numFmtId="9" fontId="10" fillId="0" borderId="0" xfId="2" applyFont="1"/>
    <xf numFmtId="193" fontId="10" fillId="0" borderId="0" xfId="0" applyNumberFormat="1" applyFont="1"/>
    <xf numFmtId="0" fontId="18" fillId="2" borderId="0" xfId="0" applyFont="1" applyFill="1" applyAlignment="1">
      <alignment horizontal="left" vertical="center" wrapText="1"/>
    </xf>
    <xf numFmtId="177" fontId="10" fillId="0" borderId="25" xfId="1" applyNumberFormat="1" applyFont="1" applyFill="1" applyBorder="1" applyAlignment="1">
      <alignment horizontal="right"/>
    </xf>
    <xf numFmtId="175" fontId="17" fillId="17" borderId="25" xfId="0" applyNumberFormat="1" applyFont="1" applyFill="1" applyBorder="1" applyAlignment="1">
      <alignment horizontal="right"/>
    </xf>
    <xf numFmtId="175" fontId="10" fillId="0" borderId="25" xfId="0" applyNumberFormat="1" applyFont="1" applyBorder="1" applyAlignment="1">
      <alignment horizontal="left"/>
    </xf>
    <xf numFmtId="164" fontId="17" fillId="17" borderId="25" xfId="1" applyFont="1" applyFill="1" applyBorder="1" applyAlignment="1">
      <alignment horizontal="right"/>
    </xf>
    <xf numFmtId="0" fontId="10" fillId="0" borderId="0" xfId="0" applyFont="1" applyAlignment="1">
      <alignment wrapText="1"/>
    </xf>
    <xf numFmtId="0" fontId="22" fillId="0" borderId="0" xfId="0" applyFont="1"/>
    <xf numFmtId="0" fontId="23" fillId="0" borderId="47" xfId="0" applyFont="1" applyBorder="1"/>
    <xf numFmtId="0" fontId="23" fillId="0" borderId="48" xfId="0" applyFont="1" applyBorder="1"/>
    <xf numFmtId="0" fontId="23" fillId="0" borderId="50" xfId="0" applyFont="1" applyBorder="1"/>
    <xf numFmtId="173" fontId="0" fillId="6" borderId="0" xfId="1" applyNumberFormat="1" applyFont="1" applyFill="1"/>
    <xf numFmtId="0" fontId="17" fillId="8" borderId="47" xfId="0" applyFont="1" applyFill="1" applyBorder="1" applyAlignment="1">
      <alignment horizontal="center"/>
    </xf>
    <xf numFmtId="0" fontId="17" fillId="8" borderId="48" xfId="0" applyFont="1" applyFill="1" applyBorder="1" applyAlignment="1">
      <alignment horizontal="center"/>
    </xf>
    <xf numFmtId="0" fontId="17" fillId="8" borderId="50" xfId="0" applyFont="1" applyFill="1" applyBorder="1" applyAlignment="1">
      <alignment horizontal="center"/>
    </xf>
    <xf numFmtId="0" fontId="18" fillId="2" borderId="0" xfId="0" applyFont="1" applyFill="1" applyAlignment="1">
      <alignment horizontal="center" vertical="center"/>
    </xf>
    <xf numFmtId="0" fontId="4" fillId="5" borderId="0" xfId="0" applyFont="1" applyFill="1" applyAlignment="1">
      <alignment horizontal="center" vertical="center" wrapText="1"/>
    </xf>
    <xf numFmtId="0" fontId="4" fillId="5" borderId="0" xfId="0" applyFont="1" applyFill="1" applyAlignment="1">
      <alignment horizontal="center" vertical="center"/>
    </xf>
    <xf numFmtId="0" fontId="13" fillId="0" borderId="0" xfId="0" applyFont="1" applyAlignment="1">
      <alignment horizontal="left" vertical="top" wrapText="1"/>
    </xf>
    <xf numFmtId="0" fontId="0" fillId="0" borderId="0" xfId="0"/>
    <xf numFmtId="0" fontId="13" fillId="0" borderId="0" xfId="0" applyFont="1" applyAlignment="1">
      <alignment horizontal="left"/>
    </xf>
    <xf numFmtId="0" fontId="14" fillId="9" borderId="47" xfId="0" applyFont="1" applyFill="1" applyBorder="1" applyAlignment="1">
      <alignment horizontal="center"/>
    </xf>
    <xf numFmtId="0" fontId="14" fillId="9" borderId="48" xfId="0" applyFont="1" applyFill="1" applyBorder="1" applyAlignment="1">
      <alignment horizontal="center"/>
    </xf>
    <xf numFmtId="0" fontId="14" fillId="9" borderId="50" xfId="0" applyFont="1" applyFill="1" applyBorder="1" applyAlignment="1">
      <alignment horizontal="center"/>
    </xf>
    <xf numFmtId="0" fontId="0" fillId="0" borderId="0" xfId="0" applyAlignment="1">
      <alignment horizontal="center"/>
    </xf>
    <xf numFmtId="0" fontId="11" fillId="0" borderId="0" xfId="0" applyFont="1" applyAlignment="1">
      <alignment horizontal="left"/>
    </xf>
    <xf numFmtId="0" fontId="12" fillId="0" borderId="0" xfId="0" applyFont="1" applyAlignment="1">
      <alignment horizontal="left" vertical="top" wrapText="1"/>
    </xf>
    <xf numFmtId="0" fontId="1" fillId="2" borderId="0" xfId="0" applyFont="1" applyFill="1" applyAlignment="1">
      <alignment horizontal="center"/>
    </xf>
    <xf numFmtId="0" fontId="3" fillId="5" borderId="6" xfId="0" applyFont="1" applyFill="1" applyBorder="1" applyAlignment="1">
      <alignment horizontal="left" vertical="top" wrapText="1"/>
    </xf>
    <xf numFmtId="0" fontId="3" fillId="5" borderId="7" xfId="0" applyFont="1" applyFill="1" applyBorder="1" applyAlignment="1">
      <alignment horizontal="left" vertical="top" wrapText="1"/>
    </xf>
    <xf numFmtId="0" fontId="3" fillId="5" borderId="20" xfId="0" applyFont="1" applyFill="1" applyBorder="1" applyAlignment="1">
      <alignment horizontal="left" vertical="top" wrapText="1"/>
    </xf>
    <xf numFmtId="0" fontId="3" fillId="5" borderId="10" xfId="0" applyFont="1" applyFill="1" applyBorder="1" applyAlignment="1">
      <alignment horizontal="left" vertical="top" wrapText="1"/>
    </xf>
    <xf numFmtId="0" fontId="3" fillId="5" borderId="0" xfId="0" applyFont="1" applyFill="1" applyAlignment="1">
      <alignment horizontal="left" vertical="top" wrapText="1"/>
    </xf>
    <xf numFmtId="0" fontId="3" fillId="5" borderId="21" xfId="0" applyFont="1" applyFill="1" applyBorder="1" applyAlignment="1">
      <alignment horizontal="left" vertical="top" wrapText="1"/>
    </xf>
    <xf numFmtId="0" fontId="3" fillId="5" borderId="11" xfId="0" applyFont="1" applyFill="1" applyBorder="1" applyAlignment="1">
      <alignment horizontal="left" vertical="top" wrapText="1"/>
    </xf>
    <xf numFmtId="0" fontId="3" fillId="5" borderId="12" xfId="0" applyFont="1" applyFill="1" applyBorder="1" applyAlignment="1">
      <alignment horizontal="left" vertical="top" wrapText="1"/>
    </xf>
    <xf numFmtId="0" fontId="3" fillId="5" borderId="22" xfId="0" applyFont="1" applyFill="1" applyBorder="1" applyAlignment="1">
      <alignment horizontal="left" vertical="top" wrapText="1"/>
    </xf>
    <xf numFmtId="0" fontId="1" fillId="2" borderId="6" xfId="0" applyFont="1" applyFill="1" applyBorder="1" applyAlignment="1">
      <alignment horizontal="center"/>
    </xf>
    <xf numFmtId="0" fontId="1" fillId="2" borderId="7" xfId="0" applyFont="1" applyFill="1" applyBorder="1" applyAlignment="1">
      <alignment horizontal="center"/>
    </xf>
    <xf numFmtId="0" fontId="1" fillId="2" borderId="20" xfId="0" applyFont="1" applyFill="1" applyBorder="1" applyAlignment="1">
      <alignment horizontal="center"/>
    </xf>
    <xf numFmtId="0" fontId="1" fillId="2" borderId="23" xfId="0" applyFont="1" applyFill="1" applyBorder="1" applyAlignment="1">
      <alignment horizontal="center"/>
    </xf>
    <xf numFmtId="0" fontId="1" fillId="2" borderId="24" xfId="0" applyFont="1" applyFill="1" applyBorder="1" applyAlignment="1">
      <alignment horizontal="center"/>
    </xf>
    <xf numFmtId="0" fontId="3" fillId="5" borderId="6" xfId="0" applyFont="1" applyFill="1" applyBorder="1" applyAlignment="1">
      <alignment horizontal="left" vertical="center" wrapText="1"/>
    </xf>
    <xf numFmtId="0" fontId="3" fillId="5" borderId="7" xfId="0" applyFont="1" applyFill="1" applyBorder="1" applyAlignment="1">
      <alignment horizontal="left" vertical="center" wrapText="1"/>
    </xf>
    <xf numFmtId="0" fontId="3" fillId="5" borderId="20" xfId="0" applyFont="1" applyFill="1" applyBorder="1" applyAlignment="1">
      <alignment horizontal="left" vertical="center" wrapText="1"/>
    </xf>
    <xf numFmtId="0" fontId="3" fillId="5" borderId="11" xfId="0" applyFont="1" applyFill="1" applyBorder="1" applyAlignment="1">
      <alignment horizontal="left" vertical="center" wrapText="1"/>
    </xf>
    <xf numFmtId="0" fontId="3" fillId="5" borderId="12" xfId="0" applyFont="1" applyFill="1" applyBorder="1" applyAlignment="1">
      <alignment horizontal="left" vertical="center" wrapText="1"/>
    </xf>
    <xf numFmtId="0" fontId="3" fillId="5" borderId="22" xfId="0" applyFont="1" applyFill="1" applyBorder="1" applyAlignment="1">
      <alignment horizontal="left" vertical="center" wrapText="1"/>
    </xf>
    <xf numFmtId="0" fontId="1" fillId="3" borderId="0" xfId="0" applyFont="1" applyFill="1" applyAlignment="1">
      <alignment horizontal="center"/>
    </xf>
    <xf numFmtId="0" fontId="1" fillId="2" borderId="1" xfId="0" applyFont="1" applyFill="1" applyBorder="1" applyAlignment="1">
      <alignment horizontal="center"/>
    </xf>
    <xf numFmtId="0" fontId="1" fillId="2" borderId="2" xfId="0" applyFont="1" applyFill="1" applyBorder="1" applyAlignment="1">
      <alignment horizontal="center"/>
    </xf>
    <xf numFmtId="0" fontId="1" fillId="2" borderId="3" xfId="0" applyFont="1" applyFill="1" applyBorder="1" applyAlignment="1">
      <alignment horizontal="center"/>
    </xf>
    <xf numFmtId="0" fontId="5" fillId="0" borderId="4" xfId="0" applyFont="1" applyBorder="1" applyAlignment="1">
      <alignment horizontal="left" wrapText="1"/>
    </xf>
    <xf numFmtId="0" fontId="5" fillId="0" borderId="0" xfId="0" applyFont="1" applyAlignment="1">
      <alignment horizontal="left" wrapText="1"/>
    </xf>
  </cellXfs>
  <cellStyles count="25">
    <cellStyle name="Comma" xfId="1" builtinId="3"/>
    <cellStyle name="Comma 2" xfId="4" xr:uid="{00000000-0005-0000-0000-000031000000}"/>
    <cellStyle name="Comma 3" xfId="5" xr:uid="{00000000-0005-0000-0000-000032000000}"/>
    <cellStyle name="Comma 6" xfId="6" xr:uid="{00000000-0005-0000-0000-000033000000}"/>
    <cellStyle name="Currency 2" xfId="7" xr:uid="{00000000-0005-0000-0000-000034000000}"/>
    <cellStyle name="DateLong" xfId="8" xr:uid="{00000000-0005-0000-0000-000035000000}"/>
    <cellStyle name="DateLong 2" xfId="9" xr:uid="{00000000-0005-0000-0000-000036000000}"/>
    <cellStyle name="DateShort" xfId="10" xr:uid="{00000000-0005-0000-0000-000037000000}"/>
    <cellStyle name="Factor" xfId="11" xr:uid="{00000000-0005-0000-0000-000038000000}"/>
    <cellStyle name="Hyperlink" xfId="3" builtinId="8"/>
    <cellStyle name="Hyperlink 2" xfId="12" xr:uid="{00000000-0005-0000-0000-000039000000}"/>
    <cellStyle name="Hyperlink 3" xfId="13" xr:uid="{00000000-0005-0000-0000-00003A000000}"/>
    <cellStyle name="Normal" xfId="0" builtinId="0"/>
    <cellStyle name="Normal 2" xfId="14" xr:uid="{00000000-0005-0000-0000-00003B000000}"/>
    <cellStyle name="Normal 3" xfId="15" xr:uid="{00000000-0005-0000-0000-00003C000000}"/>
    <cellStyle name="Normal 4" xfId="16" xr:uid="{00000000-0005-0000-0000-00003D000000}"/>
    <cellStyle name="Normal 5" xfId="17" xr:uid="{00000000-0005-0000-0000-00003E000000}"/>
    <cellStyle name="Normal 6" xfId="18" xr:uid="{00000000-0005-0000-0000-00003F000000}"/>
    <cellStyle name="Normal 7" xfId="19" xr:uid="{00000000-0005-0000-0000-000040000000}"/>
    <cellStyle name="Note 2" xfId="20" xr:uid="{00000000-0005-0000-0000-000041000000}"/>
    <cellStyle name="Percent" xfId="2" builtinId="5"/>
    <cellStyle name="Percent 2" xfId="21" xr:uid="{00000000-0005-0000-0000-000042000000}"/>
    <cellStyle name="Percent 3" xfId="22" xr:uid="{00000000-0005-0000-0000-000043000000}"/>
    <cellStyle name="Percent 4" xfId="23" xr:uid="{00000000-0005-0000-0000-000044000000}"/>
    <cellStyle name="Year" xfId="24" xr:uid="{00000000-0005-0000-0000-000045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18" Type="http://schemas.openxmlformats.org/officeDocument/2006/relationships/customXml" Target="../customXml/item4.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customXml" Target="../customXml/item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s>
</file>

<file path=xl/drawings/_rels/drawing3.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 Id="rId4" Type="http://schemas.openxmlformats.org/officeDocument/2006/relationships/image" Target="../media/image23.png"/></Relationships>
</file>

<file path=xl/drawings/_rels/drawing4.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5" Type="http://schemas.openxmlformats.org/officeDocument/2006/relationships/image" Target="../media/image28.png"/><Relationship Id="rId4" Type="http://schemas.openxmlformats.org/officeDocument/2006/relationships/image" Target="../media/image27.png"/></Relationships>
</file>

<file path=xl/drawings/_rels/drawing5.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6.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31.png"/></Relationships>
</file>

<file path=xl/drawings/_rels/drawing7.xml.rels><?xml version="1.0" encoding="UTF-8" standalone="yes"?>
<Relationships xmlns="http://schemas.openxmlformats.org/package/2006/relationships"><Relationship Id="rId8" Type="http://schemas.openxmlformats.org/officeDocument/2006/relationships/image" Target="../media/image40.png"/><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4" Type="http://schemas.openxmlformats.org/officeDocument/2006/relationships/image" Target="../media/image36.png"/></Relationships>
</file>

<file path=xl/drawings/_rels/drawing8.xml.rels><?xml version="1.0" encoding="UTF-8" standalone="yes"?>
<Relationships xmlns="http://schemas.openxmlformats.org/package/2006/relationships"><Relationship Id="rId8" Type="http://schemas.openxmlformats.org/officeDocument/2006/relationships/image" Target="../media/image48.png"/><Relationship Id="rId3" Type="http://schemas.openxmlformats.org/officeDocument/2006/relationships/image" Target="../media/image43.png"/><Relationship Id="rId7" Type="http://schemas.openxmlformats.org/officeDocument/2006/relationships/image" Target="../media/image47.png"/><Relationship Id="rId2" Type="http://schemas.openxmlformats.org/officeDocument/2006/relationships/image" Target="../media/image42.png"/><Relationship Id="rId1" Type="http://schemas.openxmlformats.org/officeDocument/2006/relationships/image" Target="../media/image41.png"/><Relationship Id="rId6" Type="http://schemas.openxmlformats.org/officeDocument/2006/relationships/image" Target="../media/image46.png"/><Relationship Id="rId5" Type="http://schemas.openxmlformats.org/officeDocument/2006/relationships/image" Target="../media/image45.png"/><Relationship Id="rId4" Type="http://schemas.openxmlformats.org/officeDocument/2006/relationships/image" Target="../media/image44.png"/><Relationship Id="rId9" Type="http://schemas.openxmlformats.org/officeDocument/2006/relationships/image" Target="../media/image49.png"/></Relationships>
</file>

<file path=xl/drawings/_rels/drawing9.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32.png"/><Relationship Id="rId4" Type="http://schemas.openxmlformats.org/officeDocument/2006/relationships/image" Target="../media/image52.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89</xdr:row>
      <xdr:rowOff>0</xdr:rowOff>
    </xdr:from>
    <xdr:to>
      <xdr:col>5</xdr:col>
      <xdr:colOff>897690</xdr:colOff>
      <xdr:row>119</xdr:row>
      <xdr:rowOff>66962</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1"/>
        <a:stretch>
          <a:fillRect/>
        </a:stretch>
      </xdr:blipFill>
      <xdr:spPr>
        <a:xfrm>
          <a:off x="1510030" y="15903575"/>
          <a:ext cx="5226685" cy="5407025"/>
        </a:xfrm>
        <a:prstGeom prst="rect">
          <a:avLst/>
        </a:prstGeom>
      </xdr:spPr>
    </xdr:pic>
    <xdr:clientData/>
  </xdr:twoCellAnchor>
  <xdr:twoCellAnchor editAs="oneCell">
    <xdr:from>
      <xdr:col>9</xdr:col>
      <xdr:colOff>0</xdr:colOff>
      <xdr:row>89</xdr:row>
      <xdr:rowOff>0</xdr:rowOff>
    </xdr:from>
    <xdr:to>
      <xdr:col>14</xdr:col>
      <xdr:colOff>124149</xdr:colOff>
      <xdr:row>108</xdr:row>
      <xdr:rowOff>143698</xdr:rowOff>
    </xdr:to>
    <xdr:pic>
      <xdr:nvPicPr>
        <xdr:cNvPr id="6" name="Pictur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2"/>
        <a:stretch>
          <a:fillRect/>
        </a:stretch>
      </xdr:blipFill>
      <xdr:spPr>
        <a:xfrm>
          <a:off x="8949690" y="15903575"/>
          <a:ext cx="5332730" cy="3528060"/>
        </a:xfrm>
        <a:prstGeom prst="rect">
          <a:avLst/>
        </a:prstGeom>
      </xdr:spPr>
    </xdr:pic>
    <xdr:clientData/>
  </xdr:twoCellAnchor>
  <xdr:twoCellAnchor editAs="oneCell">
    <xdr:from>
      <xdr:col>9</xdr:col>
      <xdr:colOff>0</xdr:colOff>
      <xdr:row>110</xdr:row>
      <xdr:rowOff>0</xdr:rowOff>
    </xdr:from>
    <xdr:to>
      <xdr:col>13</xdr:col>
      <xdr:colOff>546228</xdr:colOff>
      <xdr:row>120</xdr:row>
      <xdr:rowOff>162028</xdr:rowOff>
    </xdr:to>
    <xdr:pic>
      <xdr:nvPicPr>
        <xdr:cNvPr id="7" name="Picture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3"/>
        <a:stretch>
          <a:fillRect/>
        </a:stretch>
      </xdr:blipFill>
      <xdr:spPr>
        <a:xfrm>
          <a:off x="8949690" y="19643725"/>
          <a:ext cx="5069205" cy="1939925"/>
        </a:xfrm>
        <a:prstGeom prst="rect">
          <a:avLst/>
        </a:prstGeom>
      </xdr:spPr>
    </xdr:pic>
    <xdr:clientData/>
  </xdr:twoCellAnchor>
  <xdr:twoCellAnchor editAs="oneCell">
    <xdr:from>
      <xdr:col>9</xdr:col>
      <xdr:colOff>25400</xdr:colOff>
      <xdr:row>121</xdr:row>
      <xdr:rowOff>19050</xdr:rowOff>
    </xdr:from>
    <xdr:to>
      <xdr:col>13</xdr:col>
      <xdr:colOff>486086</xdr:colOff>
      <xdr:row>129</xdr:row>
      <xdr:rowOff>75</xdr:rowOff>
    </xdr:to>
    <xdr:pic>
      <xdr:nvPicPr>
        <xdr:cNvPr id="8" name="Pictur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4"/>
        <a:stretch>
          <a:fillRect/>
        </a:stretch>
      </xdr:blipFill>
      <xdr:spPr>
        <a:xfrm>
          <a:off x="8975090" y="21618575"/>
          <a:ext cx="4983480" cy="1403350"/>
        </a:xfrm>
        <a:prstGeom prst="rect">
          <a:avLst/>
        </a:prstGeom>
      </xdr:spPr>
    </xdr:pic>
    <xdr:clientData/>
  </xdr:twoCellAnchor>
  <xdr:twoCellAnchor editAs="oneCell">
    <xdr:from>
      <xdr:col>19</xdr:col>
      <xdr:colOff>641725</xdr:colOff>
      <xdr:row>32</xdr:row>
      <xdr:rowOff>55843</xdr:rowOff>
    </xdr:from>
    <xdr:to>
      <xdr:col>21</xdr:col>
      <xdr:colOff>439004</xdr:colOff>
      <xdr:row>49</xdr:row>
      <xdr:rowOff>21739</xdr:rowOff>
    </xdr:to>
    <xdr:pic>
      <xdr:nvPicPr>
        <xdr:cNvPr id="9" name="Pictur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5"/>
        <a:stretch>
          <a:fillRect/>
        </a:stretch>
      </xdr:blipFill>
      <xdr:spPr>
        <a:xfrm>
          <a:off x="19115405" y="5757545"/>
          <a:ext cx="1452245" cy="2988945"/>
        </a:xfrm>
        <a:prstGeom prst="rect">
          <a:avLst/>
        </a:prstGeom>
      </xdr:spPr>
    </xdr:pic>
    <xdr:clientData/>
  </xdr:twoCellAnchor>
  <xdr:twoCellAnchor editAs="oneCell">
    <xdr:from>
      <xdr:col>13</xdr:col>
      <xdr:colOff>268566</xdr:colOff>
      <xdr:row>32</xdr:row>
      <xdr:rowOff>154641</xdr:rowOff>
    </xdr:from>
    <xdr:to>
      <xdr:col>15</xdr:col>
      <xdr:colOff>415041</xdr:colOff>
      <xdr:row>48</xdr:row>
      <xdr:rowOff>162529</xdr:rowOff>
    </xdr:to>
    <xdr:pic>
      <xdr:nvPicPr>
        <xdr:cNvPr id="11" name="Pictur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6"/>
        <a:stretch>
          <a:fillRect/>
        </a:stretch>
      </xdr:blipFill>
      <xdr:spPr>
        <a:xfrm>
          <a:off x="13740765" y="5856605"/>
          <a:ext cx="1518285" cy="2852420"/>
        </a:xfrm>
        <a:prstGeom prst="rect">
          <a:avLst/>
        </a:prstGeom>
      </xdr:spPr>
    </xdr:pic>
    <xdr:clientData/>
  </xdr:twoCellAnchor>
  <xdr:twoCellAnchor editAs="oneCell">
    <xdr:from>
      <xdr:col>23</xdr:col>
      <xdr:colOff>448049</xdr:colOff>
      <xdr:row>33</xdr:row>
      <xdr:rowOff>15688</xdr:rowOff>
    </xdr:from>
    <xdr:to>
      <xdr:col>25</xdr:col>
      <xdr:colOff>5184</xdr:colOff>
      <xdr:row>49</xdr:row>
      <xdr:rowOff>9524</xdr:rowOff>
    </xdr:to>
    <xdr:pic>
      <xdr:nvPicPr>
        <xdr:cNvPr id="18" name="Pictur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7"/>
        <a:stretch>
          <a:fillRect/>
        </a:stretch>
      </xdr:blipFill>
      <xdr:spPr>
        <a:xfrm>
          <a:off x="21948140" y="5895340"/>
          <a:ext cx="1406525" cy="2838450"/>
        </a:xfrm>
        <a:prstGeom prst="rect">
          <a:avLst/>
        </a:prstGeom>
      </xdr:spPr>
    </xdr:pic>
    <xdr:clientData/>
  </xdr:twoCellAnchor>
  <xdr:twoCellAnchor editAs="oneCell">
    <xdr:from>
      <xdr:col>28</xdr:col>
      <xdr:colOff>597460</xdr:colOff>
      <xdr:row>32</xdr:row>
      <xdr:rowOff>157763</xdr:rowOff>
    </xdr:from>
    <xdr:to>
      <xdr:col>31</xdr:col>
      <xdr:colOff>69161</xdr:colOff>
      <xdr:row>48</xdr:row>
      <xdr:rowOff>158563</xdr:rowOff>
    </xdr:to>
    <xdr:pic>
      <xdr:nvPicPr>
        <xdr:cNvPr id="19" name="Pictur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8"/>
        <a:stretch>
          <a:fillRect/>
        </a:stretch>
      </xdr:blipFill>
      <xdr:spPr>
        <a:xfrm>
          <a:off x="26003885" y="5859780"/>
          <a:ext cx="1529080" cy="2845435"/>
        </a:xfrm>
        <a:prstGeom prst="rect">
          <a:avLst/>
        </a:prstGeom>
      </xdr:spPr>
    </xdr:pic>
    <xdr:clientData/>
  </xdr:twoCellAnchor>
  <xdr:twoCellAnchor editAs="oneCell">
    <xdr:from>
      <xdr:col>25</xdr:col>
      <xdr:colOff>1681</xdr:colOff>
      <xdr:row>32</xdr:row>
      <xdr:rowOff>167154</xdr:rowOff>
    </xdr:from>
    <xdr:to>
      <xdr:col>27</xdr:col>
      <xdr:colOff>67364</xdr:colOff>
      <xdr:row>49</xdr:row>
      <xdr:rowOff>1681</xdr:rowOff>
    </xdr:to>
    <xdr:pic>
      <xdr:nvPicPr>
        <xdr:cNvPr id="20" name="Picture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9"/>
        <a:stretch>
          <a:fillRect/>
        </a:stretch>
      </xdr:blipFill>
      <xdr:spPr>
        <a:xfrm>
          <a:off x="23350855" y="5869305"/>
          <a:ext cx="1437640" cy="2856865"/>
        </a:xfrm>
        <a:prstGeom prst="rect">
          <a:avLst/>
        </a:prstGeom>
      </xdr:spPr>
    </xdr:pic>
    <xdr:clientData/>
  </xdr:twoCellAnchor>
  <xdr:twoCellAnchor editAs="oneCell">
    <xdr:from>
      <xdr:col>26</xdr:col>
      <xdr:colOff>605118</xdr:colOff>
      <xdr:row>32</xdr:row>
      <xdr:rowOff>165761</xdr:rowOff>
    </xdr:from>
    <xdr:to>
      <xdr:col>29</xdr:col>
      <xdr:colOff>22377</xdr:colOff>
      <xdr:row>48</xdr:row>
      <xdr:rowOff>173455</xdr:rowOff>
    </xdr:to>
    <xdr:pic>
      <xdr:nvPicPr>
        <xdr:cNvPr id="21" name="Pictur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10"/>
        <a:stretch>
          <a:fillRect/>
        </a:stretch>
      </xdr:blipFill>
      <xdr:spPr>
        <a:xfrm>
          <a:off x="24639905" y="5868035"/>
          <a:ext cx="1475105" cy="2852420"/>
        </a:xfrm>
        <a:prstGeom prst="rect">
          <a:avLst/>
        </a:prstGeom>
      </xdr:spPr>
    </xdr:pic>
    <xdr:clientData/>
  </xdr:twoCellAnchor>
  <xdr:twoCellAnchor editAs="oneCell">
    <xdr:from>
      <xdr:col>18</xdr:col>
      <xdr:colOff>900306</xdr:colOff>
      <xdr:row>32</xdr:row>
      <xdr:rowOff>186152</xdr:rowOff>
    </xdr:from>
    <xdr:to>
      <xdr:col>19</xdr:col>
      <xdr:colOff>790891</xdr:colOff>
      <xdr:row>49</xdr:row>
      <xdr:rowOff>7470</xdr:rowOff>
    </xdr:to>
    <xdr:pic>
      <xdr:nvPicPr>
        <xdr:cNvPr id="22" name="Picture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1"/>
        <a:stretch>
          <a:fillRect/>
        </a:stretch>
      </xdr:blipFill>
      <xdr:spPr>
        <a:xfrm>
          <a:off x="17863820" y="5880100"/>
          <a:ext cx="1400810" cy="2851785"/>
        </a:xfrm>
        <a:prstGeom prst="rect">
          <a:avLst/>
        </a:prstGeom>
      </xdr:spPr>
    </xdr:pic>
    <xdr:clientData/>
  </xdr:twoCellAnchor>
  <xdr:twoCellAnchor editAs="oneCell">
    <xdr:from>
      <xdr:col>21</xdr:col>
      <xdr:colOff>446369</xdr:colOff>
      <xdr:row>32</xdr:row>
      <xdr:rowOff>180086</xdr:rowOff>
    </xdr:from>
    <xdr:to>
      <xdr:col>23</xdr:col>
      <xdr:colOff>417794</xdr:colOff>
      <xdr:row>48</xdr:row>
      <xdr:rowOff>150883</xdr:rowOff>
    </xdr:to>
    <xdr:pic>
      <xdr:nvPicPr>
        <xdr:cNvPr id="23" name="Picture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12"/>
        <a:stretch>
          <a:fillRect/>
        </a:stretch>
      </xdr:blipFill>
      <xdr:spPr>
        <a:xfrm>
          <a:off x="20574635" y="5880100"/>
          <a:ext cx="1343025" cy="2817495"/>
        </a:xfrm>
        <a:prstGeom prst="rect">
          <a:avLst/>
        </a:prstGeom>
      </xdr:spPr>
    </xdr:pic>
    <xdr:clientData/>
  </xdr:twoCellAnchor>
  <xdr:twoCellAnchor editAs="oneCell">
    <xdr:from>
      <xdr:col>11</xdr:col>
      <xdr:colOff>161926</xdr:colOff>
      <xdr:row>33</xdr:row>
      <xdr:rowOff>38100</xdr:rowOff>
    </xdr:from>
    <xdr:to>
      <xdr:col>12</xdr:col>
      <xdr:colOff>74872</xdr:colOff>
      <xdr:row>48</xdr:row>
      <xdr:rowOff>148926</xdr:rowOff>
    </xdr:to>
    <xdr:pic>
      <xdr:nvPicPr>
        <xdr:cNvPr id="24" name="Picture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13"/>
        <a:stretch>
          <a:fillRect/>
        </a:stretch>
      </xdr:blipFill>
      <xdr:spPr>
        <a:xfrm>
          <a:off x="11259185" y="5918200"/>
          <a:ext cx="1318260" cy="2777490"/>
        </a:xfrm>
        <a:prstGeom prst="rect">
          <a:avLst/>
        </a:prstGeom>
      </xdr:spPr>
    </xdr:pic>
    <xdr:clientData/>
  </xdr:twoCellAnchor>
  <xdr:twoCellAnchor editAs="oneCell">
    <xdr:from>
      <xdr:col>12</xdr:col>
      <xdr:colOff>41088</xdr:colOff>
      <xdr:row>33</xdr:row>
      <xdr:rowOff>33990</xdr:rowOff>
    </xdr:from>
    <xdr:to>
      <xdr:col>13</xdr:col>
      <xdr:colOff>376379</xdr:colOff>
      <xdr:row>49</xdr:row>
      <xdr:rowOff>4481</xdr:rowOff>
    </xdr:to>
    <xdr:pic>
      <xdr:nvPicPr>
        <xdr:cNvPr id="25" name="Picture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14"/>
        <a:stretch>
          <a:fillRect/>
        </a:stretch>
      </xdr:blipFill>
      <xdr:spPr>
        <a:xfrm>
          <a:off x="12543790" y="5913755"/>
          <a:ext cx="1304925" cy="2815590"/>
        </a:xfrm>
        <a:prstGeom prst="rect">
          <a:avLst/>
        </a:prstGeom>
      </xdr:spPr>
    </xdr:pic>
    <xdr:clientData/>
  </xdr:twoCellAnchor>
  <xdr:twoCellAnchor editAs="oneCell">
    <xdr:from>
      <xdr:col>15</xdr:col>
      <xdr:colOff>343646</xdr:colOff>
      <xdr:row>33</xdr:row>
      <xdr:rowOff>22413</xdr:rowOff>
    </xdr:from>
    <xdr:to>
      <xdr:col>17</xdr:col>
      <xdr:colOff>376944</xdr:colOff>
      <xdr:row>49</xdr:row>
      <xdr:rowOff>3064</xdr:rowOff>
    </xdr:to>
    <xdr:pic>
      <xdr:nvPicPr>
        <xdr:cNvPr id="26" name="Picture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15"/>
        <a:stretch>
          <a:fillRect/>
        </a:stretch>
      </xdr:blipFill>
      <xdr:spPr>
        <a:xfrm>
          <a:off x="15187930" y="5902325"/>
          <a:ext cx="1404620" cy="2825115"/>
        </a:xfrm>
        <a:prstGeom prst="rect">
          <a:avLst/>
        </a:prstGeom>
      </xdr:spPr>
    </xdr:pic>
    <xdr:clientData/>
  </xdr:twoCellAnchor>
  <xdr:twoCellAnchor editAs="oneCell">
    <xdr:from>
      <xdr:col>17</xdr:col>
      <xdr:colOff>296209</xdr:colOff>
      <xdr:row>32</xdr:row>
      <xdr:rowOff>179294</xdr:rowOff>
    </xdr:from>
    <xdr:to>
      <xdr:col>18</xdr:col>
      <xdr:colOff>933899</xdr:colOff>
      <xdr:row>48</xdr:row>
      <xdr:rowOff>178845</xdr:rowOff>
    </xdr:to>
    <xdr:pic>
      <xdr:nvPicPr>
        <xdr:cNvPr id="27" name="Picture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16"/>
        <a:stretch>
          <a:fillRect/>
        </a:stretch>
      </xdr:blipFill>
      <xdr:spPr>
        <a:xfrm>
          <a:off x="16511905" y="5880100"/>
          <a:ext cx="1385570" cy="28454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0</xdr:colOff>
      <xdr:row>95</xdr:row>
      <xdr:rowOff>0</xdr:rowOff>
    </xdr:from>
    <xdr:to>
      <xdr:col>11</xdr:col>
      <xdr:colOff>219385</xdr:colOff>
      <xdr:row>98</xdr:row>
      <xdr:rowOff>38765</xdr:rowOff>
    </xdr:to>
    <xdr:pic>
      <xdr:nvPicPr>
        <xdr:cNvPr id="3" name="Picture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7438390" y="17021175"/>
          <a:ext cx="6618605" cy="572135"/>
        </a:xfrm>
        <a:prstGeom prst="rect">
          <a:avLst/>
        </a:prstGeom>
      </xdr:spPr>
    </xdr:pic>
    <xdr:clientData/>
  </xdr:twoCellAnchor>
  <xdr:twoCellAnchor editAs="oneCell">
    <xdr:from>
      <xdr:col>1</xdr:col>
      <xdr:colOff>638175</xdr:colOff>
      <xdr:row>94</xdr:row>
      <xdr:rowOff>85725</xdr:rowOff>
    </xdr:from>
    <xdr:to>
      <xdr:col>4</xdr:col>
      <xdr:colOff>300003</xdr:colOff>
      <xdr:row>119</xdr:row>
      <xdr:rowOff>29440</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2"/>
        <a:stretch>
          <a:fillRect/>
        </a:stretch>
      </xdr:blipFill>
      <xdr:spPr>
        <a:xfrm>
          <a:off x="1323975" y="16929100"/>
          <a:ext cx="4107815" cy="4388485"/>
        </a:xfrm>
        <a:prstGeom prst="rect">
          <a:avLst/>
        </a:prstGeom>
      </xdr:spPr>
    </xdr:pic>
    <xdr:clientData/>
  </xdr:twoCellAnchor>
  <xdr:twoCellAnchor editAs="oneCell">
    <xdr:from>
      <xdr:col>6</xdr:col>
      <xdr:colOff>0</xdr:colOff>
      <xdr:row>99</xdr:row>
      <xdr:rowOff>180974</xdr:rowOff>
    </xdr:from>
    <xdr:to>
      <xdr:col>10</xdr:col>
      <xdr:colOff>1172271</xdr:colOff>
      <xdr:row>108</xdr:row>
      <xdr:rowOff>123823</xdr:rowOff>
    </xdr:to>
    <xdr:pic>
      <xdr:nvPicPr>
        <xdr:cNvPr id="5" name="Picture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3"/>
        <a:stretch>
          <a:fillRect/>
        </a:stretch>
      </xdr:blipFill>
      <xdr:spPr>
        <a:xfrm>
          <a:off x="7438390" y="17910175"/>
          <a:ext cx="5951220" cy="1545590"/>
        </a:xfrm>
        <a:prstGeom prst="rect">
          <a:avLst/>
        </a:prstGeom>
      </xdr:spPr>
    </xdr:pic>
    <xdr:clientData/>
  </xdr:twoCellAnchor>
  <xdr:twoCellAnchor>
    <xdr:from>
      <xdr:col>17</xdr:col>
      <xdr:colOff>136072</xdr:colOff>
      <xdr:row>72</xdr:row>
      <xdr:rowOff>27215</xdr:rowOff>
    </xdr:from>
    <xdr:to>
      <xdr:col>18</xdr:col>
      <xdr:colOff>80736</xdr:colOff>
      <xdr:row>73</xdr:row>
      <xdr:rowOff>54882</xdr:rowOff>
    </xdr:to>
    <xdr:sp macro="" textlink="">
      <xdr:nvSpPr>
        <xdr:cNvPr id="10" name="Arrow: Left 9">
          <a:extLst>
            <a:ext uri="{FF2B5EF4-FFF2-40B4-BE49-F238E27FC236}">
              <a16:creationId xmlns:a16="http://schemas.microsoft.com/office/drawing/2014/main" id="{00000000-0008-0000-0200-00000A000000}"/>
            </a:ext>
          </a:extLst>
        </xdr:cNvPr>
        <xdr:cNvSpPr/>
      </xdr:nvSpPr>
      <xdr:spPr>
        <a:xfrm>
          <a:off x="20325715" y="12958445"/>
          <a:ext cx="630555" cy="205740"/>
        </a:xfrm>
        <a:prstGeom prst="leftArrow">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ZA"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72</xdr:row>
      <xdr:rowOff>0</xdr:rowOff>
    </xdr:from>
    <xdr:to>
      <xdr:col>9</xdr:col>
      <xdr:colOff>266397</xdr:colOff>
      <xdr:row>74</xdr:row>
      <xdr:rowOff>10813</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1"/>
        <a:stretch>
          <a:fillRect/>
        </a:stretch>
      </xdr:blipFill>
      <xdr:spPr>
        <a:xfrm>
          <a:off x="685800" y="12896850"/>
          <a:ext cx="8141335" cy="366395"/>
        </a:xfrm>
        <a:prstGeom prst="rect">
          <a:avLst/>
        </a:prstGeom>
      </xdr:spPr>
    </xdr:pic>
    <xdr:clientData/>
  </xdr:twoCellAnchor>
  <xdr:twoCellAnchor editAs="oneCell">
    <xdr:from>
      <xdr:col>1</xdr:col>
      <xdr:colOff>0</xdr:colOff>
      <xdr:row>54</xdr:row>
      <xdr:rowOff>0</xdr:rowOff>
    </xdr:from>
    <xdr:to>
      <xdr:col>7</xdr:col>
      <xdr:colOff>18672</xdr:colOff>
      <xdr:row>69</xdr:row>
      <xdr:rowOff>114035</xdr:rowOff>
    </xdr:to>
    <xdr:pic>
      <xdr:nvPicPr>
        <xdr:cNvPr id="4" name="Picture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2"/>
        <a:stretch>
          <a:fillRect/>
        </a:stretch>
      </xdr:blipFill>
      <xdr:spPr>
        <a:xfrm>
          <a:off x="685800" y="9686925"/>
          <a:ext cx="6196965" cy="2790190"/>
        </a:xfrm>
        <a:prstGeom prst="rect">
          <a:avLst/>
        </a:prstGeom>
      </xdr:spPr>
    </xdr:pic>
    <xdr:clientData/>
  </xdr:twoCellAnchor>
  <xdr:twoCellAnchor editAs="oneCell">
    <xdr:from>
      <xdr:col>1</xdr:col>
      <xdr:colOff>0</xdr:colOff>
      <xdr:row>75</xdr:row>
      <xdr:rowOff>0</xdr:rowOff>
    </xdr:from>
    <xdr:to>
      <xdr:col>7</xdr:col>
      <xdr:colOff>103131</xdr:colOff>
      <xdr:row>97</xdr:row>
      <xdr:rowOff>11000</xdr:rowOff>
    </xdr:to>
    <xdr:pic>
      <xdr:nvPicPr>
        <xdr:cNvPr id="6" name="Picture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3"/>
        <a:stretch>
          <a:fillRect/>
        </a:stretch>
      </xdr:blipFill>
      <xdr:spPr>
        <a:xfrm>
          <a:off x="685800" y="13430250"/>
          <a:ext cx="6281420" cy="3922395"/>
        </a:xfrm>
        <a:prstGeom prst="rect">
          <a:avLst/>
        </a:prstGeom>
      </xdr:spPr>
    </xdr:pic>
    <xdr:clientData/>
  </xdr:twoCellAnchor>
  <xdr:twoCellAnchor editAs="oneCell">
    <xdr:from>
      <xdr:col>19</xdr:col>
      <xdr:colOff>1001059</xdr:colOff>
      <xdr:row>3</xdr:row>
      <xdr:rowOff>104588</xdr:rowOff>
    </xdr:from>
    <xdr:to>
      <xdr:col>27</xdr:col>
      <xdr:colOff>268071</xdr:colOff>
      <xdr:row>11</xdr:row>
      <xdr:rowOff>140897</xdr:rowOff>
    </xdr:to>
    <xdr:pic>
      <xdr:nvPicPr>
        <xdr:cNvPr id="7" name="Picture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4"/>
        <a:stretch>
          <a:fillRect/>
        </a:stretch>
      </xdr:blipFill>
      <xdr:spPr>
        <a:xfrm>
          <a:off x="18628360" y="637540"/>
          <a:ext cx="5347970" cy="14585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539749</xdr:colOff>
      <xdr:row>81</xdr:row>
      <xdr:rowOff>63500</xdr:rowOff>
    </xdr:from>
    <xdr:to>
      <xdr:col>7</xdr:col>
      <xdr:colOff>536877</xdr:colOff>
      <xdr:row>90</xdr:row>
      <xdr:rowOff>75652</xdr:rowOff>
    </xdr:to>
    <xdr:pic>
      <xdr:nvPicPr>
        <xdr:cNvPr id="27" name="Picture 2">
          <a:extLst>
            <a:ext uri="{FF2B5EF4-FFF2-40B4-BE49-F238E27FC236}">
              <a16:creationId xmlns:a16="http://schemas.microsoft.com/office/drawing/2014/main" id="{00000000-0008-0000-0400-00001B000000}"/>
            </a:ext>
          </a:extLst>
        </xdr:cNvPr>
        <xdr:cNvPicPr>
          <a:picLocks noChangeAspect="1"/>
        </xdr:cNvPicPr>
      </xdr:nvPicPr>
      <xdr:blipFill>
        <a:blip xmlns:r="http://schemas.openxmlformats.org/officeDocument/2006/relationships" r:embed="rId1"/>
        <a:stretch>
          <a:fillRect/>
        </a:stretch>
      </xdr:blipFill>
      <xdr:spPr>
        <a:xfrm>
          <a:off x="1224915" y="14531975"/>
          <a:ext cx="7040880" cy="1621790"/>
        </a:xfrm>
        <a:prstGeom prst="rect">
          <a:avLst/>
        </a:prstGeom>
      </xdr:spPr>
    </xdr:pic>
    <xdr:clientData/>
  </xdr:twoCellAnchor>
  <xdr:twoCellAnchor editAs="oneCell">
    <xdr:from>
      <xdr:col>2</xdr:col>
      <xdr:colOff>344488</xdr:colOff>
      <xdr:row>93</xdr:row>
      <xdr:rowOff>61913</xdr:rowOff>
    </xdr:from>
    <xdr:to>
      <xdr:col>7</xdr:col>
      <xdr:colOff>268223</xdr:colOff>
      <xdr:row>112</xdr:row>
      <xdr:rowOff>68444</xdr:rowOff>
    </xdr:to>
    <xdr:pic>
      <xdr:nvPicPr>
        <xdr:cNvPr id="26" name="Picture 3">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2"/>
        <a:stretch>
          <a:fillRect/>
        </a:stretch>
      </xdr:blipFill>
      <xdr:spPr>
        <a:xfrm>
          <a:off x="1902460" y="16673195"/>
          <a:ext cx="6094730" cy="3384550"/>
        </a:xfrm>
        <a:prstGeom prst="rect">
          <a:avLst/>
        </a:prstGeom>
      </xdr:spPr>
    </xdr:pic>
    <xdr:clientData/>
  </xdr:twoCellAnchor>
  <xdr:twoCellAnchor editAs="oneCell">
    <xdr:from>
      <xdr:col>14</xdr:col>
      <xdr:colOff>158750</xdr:colOff>
      <xdr:row>69</xdr:row>
      <xdr:rowOff>12700</xdr:rowOff>
    </xdr:from>
    <xdr:to>
      <xdr:col>22</xdr:col>
      <xdr:colOff>560977</xdr:colOff>
      <xdr:row>76</xdr:row>
      <xdr:rowOff>65474</xdr:rowOff>
    </xdr:to>
    <xdr:pic>
      <xdr:nvPicPr>
        <xdr:cNvPr id="8" name="Picture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3"/>
        <a:stretch>
          <a:fillRect/>
        </a:stretch>
      </xdr:blipFill>
      <xdr:spPr>
        <a:xfrm>
          <a:off x="15492730" y="12338050"/>
          <a:ext cx="5888355" cy="1297305"/>
        </a:xfrm>
        <a:prstGeom prst="rect">
          <a:avLst/>
        </a:prstGeom>
      </xdr:spPr>
    </xdr:pic>
    <xdr:clientData/>
  </xdr:twoCellAnchor>
  <xdr:twoCellAnchor editAs="oneCell">
    <xdr:from>
      <xdr:col>2</xdr:col>
      <xdr:colOff>103187</xdr:colOff>
      <xdr:row>113</xdr:row>
      <xdr:rowOff>39687</xdr:rowOff>
    </xdr:from>
    <xdr:to>
      <xdr:col>7</xdr:col>
      <xdr:colOff>536539</xdr:colOff>
      <xdr:row>115</xdr:row>
      <xdr:rowOff>84157</xdr:rowOff>
    </xdr:to>
    <xdr:pic>
      <xdr:nvPicPr>
        <xdr:cNvPr id="25" name="Picture 9">
          <a:extLst>
            <a:ext uri="{FF2B5EF4-FFF2-40B4-BE49-F238E27FC236}">
              <a16:creationId xmlns:a16="http://schemas.microsoft.com/office/drawing/2014/main" id="{00000000-0008-0000-0400-000019000000}"/>
            </a:ext>
          </a:extLst>
        </xdr:cNvPr>
        <xdr:cNvPicPr>
          <a:picLocks noChangeAspect="1"/>
        </xdr:cNvPicPr>
      </xdr:nvPicPr>
      <xdr:blipFill>
        <a:blip xmlns:r="http://schemas.openxmlformats.org/officeDocument/2006/relationships" r:embed="rId4"/>
        <a:stretch>
          <a:fillRect/>
        </a:stretch>
      </xdr:blipFill>
      <xdr:spPr>
        <a:xfrm>
          <a:off x="1661160" y="20206970"/>
          <a:ext cx="6604000" cy="400050"/>
        </a:xfrm>
        <a:prstGeom prst="rect">
          <a:avLst/>
        </a:prstGeom>
      </xdr:spPr>
    </xdr:pic>
    <xdr:clientData/>
  </xdr:twoCellAnchor>
  <xdr:twoCellAnchor editAs="oneCell">
    <xdr:from>
      <xdr:col>1</xdr:col>
      <xdr:colOff>642938</xdr:colOff>
      <xdr:row>67</xdr:row>
      <xdr:rowOff>31750</xdr:rowOff>
    </xdr:from>
    <xdr:to>
      <xdr:col>7</xdr:col>
      <xdr:colOff>241255</xdr:colOff>
      <xdr:row>80</xdr:row>
      <xdr:rowOff>18737</xdr:rowOff>
    </xdr:to>
    <xdr:pic>
      <xdr:nvPicPr>
        <xdr:cNvPr id="29" name="Picture 11">
          <a:extLst>
            <a:ext uri="{FF2B5EF4-FFF2-40B4-BE49-F238E27FC236}">
              <a16:creationId xmlns:a16="http://schemas.microsoft.com/office/drawing/2014/main" id="{00000000-0008-0000-0400-00001D000000}"/>
            </a:ext>
          </a:extLst>
        </xdr:cNvPr>
        <xdr:cNvPicPr>
          <a:picLocks noChangeAspect="1"/>
        </xdr:cNvPicPr>
      </xdr:nvPicPr>
      <xdr:blipFill>
        <a:blip xmlns:r="http://schemas.openxmlformats.org/officeDocument/2006/relationships" r:embed="rId5"/>
        <a:stretch>
          <a:fillRect/>
        </a:stretch>
      </xdr:blipFill>
      <xdr:spPr>
        <a:xfrm>
          <a:off x="1328420" y="12001500"/>
          <a:ext cx="6641465" cy="230759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0</xdr:colOff>
      <xdr:row>66</xdr:row>
      <xdr:rowOff>0</xdr:rowOff>
    </xdr:from>
    <xdr:to>
      <xdr:col>4</xdr:col>
      <xdr:colOff>1040678</xdr:colOff>
      <xdr:row>92</xdr:row>
      <xdr:rowOff>92502</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1"/>
        <a:stretch>
          <a:fillRect/>
        </a:stretch>
      </xdr:blipFill>
      <xdr:spPr>
        <a:xfrm>
          <a:off x="2348230" y="11769725"/>
          <a:ext cx="3900805" cy="4721225"/>
        </a:xfrm>
        <a:prstGeom prst="rect">
          <a:avLst/>
        </a:prstGeom>
      </xdr:spPr>
    </xdr:pic>
    <xdr:clientData/>
  </xdr:twoCellAnchor>
  <xdr:twoCellAnchor editAs="oneCell">
    <xdr:from>
      <xdr:col>2</xdr:col>
      <xdr:colOff>219075</xdr:colOff>
      <xdr:row>92</xdr:row>
      <xdr:rowOff>66675</xdr:rowOff>
    </xdr:from>
    <xdr:to>
      <xdr:col>4</xdr:col>
      <xdr:colOff>1040667</xdr:colOff>
      <xdr:row>112</xdr:row>
      <xdr:rowOff>114487</xdr:rowOff>
    </xdr:to>
    <xdr:pic>
      <xdr:nvPicPr>
        <xdr:cNvPr id="5" name="Picture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2"/>
        <a:stretch>
          <a:fillRect/>
        </a:stretch>
      </xdr:blipFill>
      <xdr:spPr>
        <a:xfrm>
          <a:off x="2567305" y="16465550"/>
          <a:ext cx="3681730" cy="3603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19050</xdr:colOff>
      <xdr:row>45</xdr:row>
      <xdr:rowOff>53975</xdr:rowOff>
    </xdr:from>
    <xdr:to>
      <xdr:col>5</xdr:col>
      <xdr:colOff>1234113</xdr:colOff>
      <xdr:row>74</xdr:row>
      <xdr:rowOff>77106</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739140" y="8121650"/>
          <a:ext cx="6548120" cy="5179060"/>
        </a:xfrm>
        <a:prstGeom prst="rect">
          <a:avLst/>
        </a:prstGeom>
      </xdr:spPr>
    </xdr:pic>
    <xdr:clientData/>
  </xdr:twoCellAnchor>
  <xdr:twoCellAnchor editAs="oneCell">
    <xdr:from>
      <xdr:col>1</xdr:col>
      <xdr:colOff>0</xdr:colOff>
      <xdr:row>75</xdr:row>
      <xdr:rowOff>0</xdr:rowOff>
    </xdr:from>
    <xdr:to>
      <xdr:col>6</xdr:col>
      <xdr:colOff>39108</xdr:colOff>
      <xdr:row>77</xdr:row>
      <xdr:rowOff>110513</xdr:rowOff>
    </xdr:to>
    <xdr:pic>
      <xdr:nvPicPr>
        <xdr:cNvPr id="9" name="Picture 8">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2"/>
        <a:stretch>
          <a:fillRect/>
        </a:stretch>
      </xdr:blipFill>
      <xdr:spPr>
        <a:xfrm>
          <a:off x="720090" y="13401675"/>
          <a:ext cx="6605270" cy="46609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83</xdr:row>
      <xdr:rowOff>0</xdr:rowOff>
    </xdr:from>
    <xdr:to>
      <xdr:col>5</xdr:col>
      <xdr:colOff>425754</xdr:colOff>
      <xdr:row>87</xdr:row>
      <xdr:rowOff>17819</xdr:rowOff>
    </xdr:to>
    <xdr:pic>
      <xdr:nvPicPr>
        <xdr:cNvPr id="4" name="Picture 2">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1"/>
        <a:stretch>
          <a:fillRect/>
        </a:stretch>
      </xdr:blipFill>
      <xdr:spPr>
        <a:xfrm>
          <a:off x="0" y="14843125"/>
          <a:ext cx="6132195" cy="728980"/>
        </a:xfrm>
        <a:prstGeom prst="rect">
          <a:avLst/>
        </a:prstGeom>
      </xdr:spPr>
    </xdr:pic>
    <xdr:clientData/>
  </xdr:twoCellAnchor>
  <xdr:twoCellAnchor editAs="oneCell">
    <xdr:from>
      <xdr:col>0</xdr:col>
      <xdr:colOff>1</xdr:colOff>
      <xdr:row>88</xdr:row>
      <xdr:rowOff>0</xdr:rowOff>
    </xdr:from>
    <xdr:to>
      <xdr:col>5</xdr:col>
      <xdr:colOff>449303</xdr:colOff>
      <xdr:row>91</xdr:row>
      <xdr:rowOff>102235</xdr:rowOff>
    </xdr:to>
    <xdr:pic>
      <xdr:nvPicPr>
        <xdr:cNvPr id="6" name="Picture 3">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2"/>
        <a:stretch>
          <a:fillRect/>
        </a:stretch>
      </xdr:blipFill>
      <xdr:spPr>
        <a:xfrm>
          <a:off x="0" y="15732125"/>
          <a:ext cx="6155690" cy="635635"/>
        </a:xfrm>
        <a:prstGeom prst="rect">
          <a:avLst/>
        </a:prstGeom>
      </xdr:spPr>
    </xdr:pic>
    <xdr:clientData/>
  </xdr:twoCellAnchor>
  <xdr:twoCellAnchor editAs="oneCell">
    <xdr:from>
      <xdr:col>0</xdr:col>
      <xdr:colOff>1</xdr:colOff>
      <xdr:row>92</xdr:row>
      <xdr:rowOff>108970</xdr:rowOff>
    </xdr:from>
    <xdr:to>
      <xdr:col>5</xdr:col>
      <xdr:colOff>434976</xdr:colOff>
      <xdr:row>95</xdr:row>
      <xdr:rowOff>83218</xdr:rowOff>
    </xdr:to>
    <xdr:pic>
      <xdr:nvPicPr>
        <xdr:cNvPr id="8" name="Picture 4">
          <a:extLst>
            <a:ext uri="{FF2B5EF4-FFF2-40B4-BE49-F238E27FC236}">
              <a16:creationId xmlns:a16="http://schemas.microsoft.com/office/drawing/2014/main" id="{00000000-0008-0000-0700-000008000000}"/>
            </a:ext>
          </a:extLst>
        </xdr:cNvPr>
        <xdr:cNvPicPr>
          <a:picLocks noChangeAspect="1"/>
        </xdr:cNvPicPr>
      </xdr:nvPicPr>
      <xdr:blipFill>
        <a:blip xmlns:r="http://schemas.openxmlformats.org/officeDocument/2006/relationships" r:embed="rId3"/>
        <a:stretch>
          <a:fillRect/>
        </a:stretch>
      </xdr:blipFill>
      <xdr:spPr>
        <a:xfrm>
          <a:off x="0" y="16551910"/>
          <a:ext cx="6141720" cy="508000"/>
        </a:xfrm>
        <a:prstGeom prst="rect">
          <a:avLst/>
        </a:prstGeom>
      </xdr:spPr>
    </xdr:pic>
    <xdr:clientData/>
  </xdr:twoCellAnchor>
  <xdr:twoCellAnchor editAs="oneCell">
    <xdr:from>
      <xdr:col>0</xdr:col>
      <xdr:colOff>0</xdr:colOff>
      <xdr:row>96</xdr:row>
      <xdr:rowOff>0</xdr:rowOff>
    </xdr:from>
    <xdr:to>
      <xdr:col>5</xdr:col>
      <xdr:colOff>473075</xdr:colOff>
      <xdr:row>98</xdr:row>
      <xdr:rowOff>78763</xdr:rowOff>
    </xdr:to>
    <xdr:pic>
      <xdr:nvPicPr>
        <xdr:cNvPr id="10" name="Picture 5">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4"/>
        <a:stretch>
          <a:fillRect/>
        </a:stretch>
      </xdr:blipFill>
      <xdr:spPr>
        <a:xfrm>
          <a:off x="0" y="17154525"/>
          <a:ext cx="6179820" cy="434340"/>
        </a:xfrm>
        <a:prstGeom prst="rect">
          <a:avLst/>
        </a:prstGeom>
      </xdr:spPr>
    </xdr:pic>
    <xdr:clientData/>
  </xdr:twoCellAnchor>
  <xdr:twoCellAnchor editAs="oneCell">
    <xdr:from>
      <xdr:col>6</xdr:col>
      <xdr:colOff>349250</xdr:colOff>
      <xdr:row>82</xdr:row>
      <xdr:rowOff>63500</xdr:rowOff>
    </xdr:from>
    <xdr:to>
      <xdr:col>12</xdr:col>
      <xdr:colOff>468251</xdr:colOff>
      <xdr:row>105</xdr:row>
      <xdr:rowOff>131030</xdr:rowOff>
    </xdr:to>
    <xdr:pic>
      <xdr:nvPicPr>
        <xdr:cNvPr id="12" name="Picture 6">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5"/>
        <a:stretch>
          <a:fillRect/>
        </a:stretch>
      </xdr:blipFill>
      <xdr:spPr>
        <a:xfrm>
          <a:off x="6776085" y="14728825"/>
          <a:ext cx="5916295" cy="4156710"/>
        </a:xfrm>
        <a:prstGeom prst="rect">
          <a:avLst/>
        </a:prstGeom>
      </xdr:spPr>
    </xdr:pic>
    <xdr:clientData/>
  </xdr:twoCellAnchor>
  <xdr:twoCellAnchor editAs="oneCell">
    <xdr:from>
      <xdr:col>6</xdr:col>
      <xdr:colOff>254000</xdr:colOff>
      <xdr:row>105</xdr:row>
      <xdr:rowOff>114300</xdr:rowOff>
    </xdr:from>
    <xdr:to>
      <xdr:col>12</xdr:col>
      <xdr:colOff>544460</xdr:colOff>
      <xdr:row>117</xdr:row>
      <xdr:rowOff>1377</xdr:rowOff>
    </xdr:to>
    <xdr:pic>
      <xdr:nvPicPr>
        <xdr:cNvPr id="14" name="Picture 7">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6"/>
        <a:stretch>
          <a:fillRect/>
        </a:stretch>
      </xdr:blipFill>
      <xdr:spPr>
        <a:xfrm>
          <a:off x="6680835" y="18869025"/>
          <a:ext cx="6087745" cy="2020570"/>
        </a:xfrm>
        <a:prstGeom prst="rect">
          <a:avLst/>
        </a:prstGeom>
      </xdr:spPr>
    </xdr:pic>
    <xdr:clientData/>
  </xdr:twoCellAnchor>
  <xdr:twoCellAnchor editAs="oneCell">
    <xdr:from>
      <xdr:col>6</xdr:col>
      <xdr:colOff>355600</xdr:colOff>
      <xdr:row>116</xdr:row>
      <xdr:rowOff>31750</xdr:rowOff>
    </xdr:from>
    <xdr:to>
      <xdr:col>12</xdr:col>
      <xdr:colOff>544455</xdr:colOff>
      <xdr:row>144</xdr:row>
      <xdr:rowOff>2801</xdr:rowOff>
    </xdr:to>
    <xdr:pic>
      <xdr:nvPicPr>
        <xdr:cNvPr id="16" name="Picture 8">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7"/>
        <a:stretch>
          <a:fillRect/>
        </a:stretch>
      </xdr:blipFill>
      <xdr:spPr>
        <a:xfrm>
          <a:off x="6782435" y="20742275"/>
          <a:ext cx="5986145" cy="4949190"/>
        </a:xfrm>
        <a:prstGeom prst="rect">
          <a:avLst/>
        </a:prstGeom>
      </xdr:spPr>
    </xdr:pic>
    <xdr:clientData/>
  </xdr:twoCellAnchor>
  <xdr:twoCellAnchor editAs="oneCell">
    <xdr:from>
      <xdr:col>0</xdr:col>
      <xdr:colOff>0</xdr:colOff>
      <xdr:row>101</xdr:row>
      <xdr:rowOff>28574</xdr:rowOff>
    </xdr:from>
    <xdr:to>
      <xdr:col>6</xdr:col>
      <xdr:colOff>425560</xdr:colOff>
      <xdr:row>108</xdr:row>
      <xdr:rowOff>126545</xdr:rowOff>
    </xdr:to>
    <xdr:pic>
      <xdr:nvPicPr>
        <xdr:cNvPr id="2" name="Picture 1">
          <a:extLst>
            <a:ext uri="{FF2B5EF4-FFF2-40B4-BE49-F238E27FC236}">
              <a16:creationId xmlns:a16="http://schemas.microsoft.com/office/drawing/2014/main" id="{00000000-0008-0000-0700-000002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a:xfrm>
          <a:off x="0" y="18071465"/>
          <a:ext cx="6852285" cy="1343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368300</xdr:colOff>
      <xdr:row>54</xdr:row>
      <xdr:rowOff>63500</xdr:rowOff>
    </xdr:from>
    <xdr:to>
      <xdr:col>4</xdr:col>
      <xdr:colOff>76471</xdr:colOff>
      <xdr:row>55</xdr:row>
      <xdr:rowOff>158765</xdr:rowOff>
    </xdr:to>
    <xdr:pic>
      <xdr:nvPicPr>
        <xdr:cNvPr id="7" name="Picture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1"/>
        <a:stretch>
          <a:fillRect/>
        </a:stretch>
      </xdr:blipFill>
      <xdr:spPr>
        <a:xfrm>
          <a:off x="368300" y="9782175"/>
          <a:ext cx="5796280" cy="273050"/>
        </a:xfrm>
        <a:prstGeom prst="rect">
          <a:avLst/>
        </a:prstGeom>
      </xdr:spPr>
    </xdr:pic>
    <xdr:clientData/>
  </xdr:twoCellAnchor>
  <xdr:twoCellAnchor editAs="oneCell">
    <xdr:from>
      <xdr:col>0</xdr:col>
      <xdr:colOff>349250</xdr:colOff>
      <xdr:row>57</xdr:row>
      <xdr:rowOff>6350</xdr:rowOff>
    </xdr:from>
    <xdr:to>
      <xdr:col>4</xdr:col>
      <xdr:colOff>139975</xdr:colOff>
      <xdr:row>59</xdr:row>
      <xdr:rowOff>76223</xdr:rowOff>
    </xdr:to>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2"/>
        <a:stretch>
          <a:fillRect/>
        </a:stretch>
      </xdr:blipFill>
      <xdr:spPr>
        <a:xfrm>
          <a:off x="349250" y="10258425"/>
          <a:ext cx="5878830" cy="425450"/>
        </a:xfrm>
        <a:prstGeom prst="rect">
          <a:avLst/>
        </a:prstGeom>
      </xdr:spPr>
    </xdr:pic>
    <xdr:clientData/>
  </xdr:twoCellAnchor>
  <xdr:twoCellAnchor editAs="oneCell">
    <xdr:from>
      <xdr:col>0</xdr:col>
      <xdr:colOff>393700</xdr:colOff>
      <xdr:row>60</xdr:row>
      <xdr:rowOff>6350</xdr:rowOff>
    </xdr:from>
    <xdr:to>
      <xdr:col>4</xdr:col>
      <xdr:colOff>63770</xdr:colOff>
      <xdr:row>63</xdr:row>
      <xdr:rowOff>25430</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3"/>
        <a:stretch>
          <a:fillRect/>
        </a:stretch>
      </xdr:blipFill>
      <xdr:spPr>
        <a:xfrm>
          <a:off x="393700" y="10791825"/>
          <a:ext cx="5758180" cy="552450"/>
        </a:xfrm>
        <a:prstGeom prst="rect">
          <a:avLst/>
        </a:prstGeom>
      </xdr:spPr>
    </xdr:pic>
    <xdr:clientData/>
  </xdr:twoCellAnchor>
  <xdr:twoCellAnchor editAs="oneCell">
    <xdr:from>
      <xdr:col>0</xdr:col>
      <xdr:colOff>165100</xdr:colOff>
      <xdr:row>64</xdr:row>
      <xdr:rowOff>0</xdr:rowOff>
    </xdr:from>
    <xdr:to>
      <xdr:col>4</xdr:col>
      <xdr:colOff>254291</xdr:colOff>
      <xdr:row>69</xdr:row>
      <xdr:rowOff>76251</xdr:rowOff>
    </xdr:to>
    <xdr:pic>
      <xdr:nvPicPr>
        <xdr:cNvPr id="10" name="Picture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4"/>
        <a:stretch>
          <a:fillRect/>
        </a:stretch>
      </xdr:blipFill>
      <xdr:spPr>
        <a:xfrm>
          <a:off x="165100" y="11496675"/>
          <a:ext cx="6177280" cy="965200"/>
        </a:xfrm>
        <a:prstGeom prst="rect">
          <a:avLst/>
        </a:prstGeom>
      </xdr:spPr>
    </xdr:pic>
    <xdr:clientData/>
  </xdr:twoCellAnchor>
  <xdr:twoCellAnchor editAs="oneCell">
    <xdr:from>
      <xdr:col>0</xdr:col>
      <xdr:colOff>222250</xdr:colOff>
      <xdr:row>69</xdr:row>
      <xdr:rowOff>95250</xdr:rowOff>
    </xdr:from>
    <xdr:to>
      <xdr:col>4</xdr:col>
      <xdr:colOff>63778</xdr:colOff>
      <xdr:row>76</xdr:row>
      <xdr:rowOff>63565</xdr:rowOff>
    </xdr:to>
    <xdr:pic>
      <xdr:nvPicPr>
        <xdr:cNvPr id="11" name="Picture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5"/>
        <a:stretch>
          <a:fillRect/>
        </a:stretch>
      </xdr:blipFill>
      <xdr:spPr>
        <a:xfrm>
          <a:off x="222250" y="12480925"/>
          <a:ext cx="5929630" cy="1212850"/>
        </a:xfrm>
        <a:prstGeom prst="rect">
          <a:avLst/>
        </a:prstGeom>
      </xdr:spPr>
    </xdr:pic>
    <xdr:clientData/>
  </xdr:twoCellAnchor>
  <xdr:twoCellAnchor editAs="oneCell">
    <xdr:from>
      <xdr:col>9</xdr:col>
      <xdr:colOff>781050</xdr:colOff>
      <xdr:row>54</xdr:row>
      <xdr:rowOff>139700</xdr:rowOff>
    </xdr:from>
    <xdr:to>
      <xdr:col>15</xdr:col>
      <xdr:colOff>95459</xdr:colOff>
      <xdr:row>82</xdr:row>
      <xdr:rowOff>258</xdr:rowOff>
    </xdr:to>
    <xdr:pic>
      <xdr:nvPicPr>
        <xdr:cNvPr id="13" name="Picture 12">
          <a:extLst>
            <a:ext uri="{FF2B5EF4-FFF2-40B4-BE49-F238E27FC236}">
              <a16:creationId xmlns:a16="http://schemas.microsoft.com/office/drawing/2014/main" id="{00000000-0008-0000-0800-00000D000000}"/>
            </a:ext>
          </a:extLst>
        </xdr:cNvPr>
        <xdr:cNvPicPr>
          <a:picLocks noChangeAspect="1"/>
        </xdr:cNvPicPr>
      </xdr:nvPicPr>
      <xdr:blipFill>
        <a:blip xmlns:r="http://schemas.openxmlformats.org/officeDocument/2006/relationships" r:embed="rId6"/>
        <a:stretch>
          <a:fillRect/>
        </a:stretch>
      </xdr:blipFill>
      <xdr:spPr>
        <a:xfrm>
          <a:off x="11489690" y="9858375"/>
          <a:ext cx="4585970" cy="4838700"/>
        </a:xfrm>
        <a:prstGeom prst="rect">
          <a:avLst/>
        </a:prstGeom>
      </xdr:spPr>
    </xdr:pic>
    <xdr:clientData/>
  </xdr:twoCellAnchor>
  <xdr:twoCellAnchor editAs="oneCell">
    <xdr:from>
      <xdr:col>9</xdr:col>
      <xdr:colOff>647700</xdr:colOff>
      <xdr:row>81</xdr:row>
      <xdr:rowOff>107950</xdr:rowOff>
    </xdr:from>
    <xdr:to>
      <xdr:col>15</xdr:col>
      <xdr:colOff>76415</xdr:colOff>
      <xdr:row>108</xdr:row>
      <xdr:rowOff>44703</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7"/>
        <a:stretch>
          <a:fillRect/>
        </a:stretch>
      </xdr:blipFill>
      <xdr:spPr>
        <a:xfrm>
          <a:off x="11356340" y="14627225"/>
          <a:ext cx="4700270" cy="4737100"/>
        </a:xfrm>
        <a:prstGeom prst="rect">
          <a:avLst/>
        </a:prstGeom>
      </xdr:spPr>
    </xdr:pic>
    <xdr:clientData/>
  </xdr:twoCellAnchor>
  <xdr:twoCellAnchor editAs="oneCell">
    <xdr:from>
      <xdr:col>9</xdr:col>
      <xdr:colOff>787400</xdr:colOff>
      <xdr:row>108</xdr:row>
      <xdr:rowOff>38100</xdr:rowOff>
    </xdr:from>
    <xdr:to>
      <xdr:col>14</xdr:col>
      <xdr:colOff>501848</xdr:colOff>
      <xdr:row>117</xdr:row>
      <xdr:rowOff>76287</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8"/>
        <a:stretch>
          <a:fillRect/>
        </a:stretch>
      </xdr:blipFill>
      <xdr:spPr>
        <a:xfrm>
          <a:off x="11496040" y="19357975"/>
          <a:ext cx="4300220" cy="1638300"/>
        </a:xfrm>
        <a:prstGeom prst="rect">
          <a:avLst/>
        </a:prstGeom>
      </xdr:spPr>
    </xdr:pic>
    <xdr:clientData/>
  </xdr:twoCellAnchor>
  <xdr:twoCellAnchor editAs="oneCell">
    <xdr:from>
      <xdr:col>5</xdr:col>
      <xdr:colOff>501650</xdr:colOff>
      <xdr:row>54</xdr:row>
      <xdr:rowOff>31750</xdr:rowOff>
    </xdr:from>
    <xdr:to>
      <xdr:col>9</xdr:col>
      <xdr:colOff>825701</xdr:colOff>
      <xdr:row>80</xdr:row>
      <xdr:rowOff>139952</xdr:rowOff>
    </xdr:to>
    <xdr:pic>
      <xdr:nvPicPr>
        <xdr:cNvPr id="16" name="Picture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9"/>
        <a:stretch>
          <a:fillRect/>
        </a:stretch>
      </xdr:blipFill>
      <xdr:spPr>
        <a:xfrm>
          <a:off x="7275830" y="9750425"/>
          <a:ext cx="4258310" cy="47307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62</xdr:row>
      <xdr:rowOff>0</xdr:rowOff>
    </xdr:from>
    <xdr:to>
      <xdr:col>5</xdr:col>
      <xdr:colOff>64508</xdr:colOff>
      <xdr:row>64</xdr:row>
      <xdr:rowOff>104163</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1"/>
        <a:stretch>
          <a:fillRect/>
        </a:stretch>
      </xdr:blipFill>
      <xdr:spPr>
        <a:xfrm>
          <a:off x="741045" y="10883900"/>
          <a:ext cx="6581775" cy="466090"/>
        </a:xfrm>
        <a:prstGeom prst="rect">
          <a:avLst/>
        </a:prstGeom>
      </xdr:spPr>
    </xdr:pic>
    <xdr:clientData/>
  </xdr:twoCellAnchor>
  <xdr:twoCellAnchor editAs="oneCell">
    <xdr:from>
      <xdr:col>1</xdr:col>
      <xdr:colOff>0</xdr:colOff>
      <xdr:row>32</xdr:row>
      <xdr:rowOff>0</xdr:rowOff>
    </xdr:from>
    <xdr:to>
      <xdr:col>4</xdr:col>
      <xdr:colOff>400333</xdr:colOff>
      <xdr:row>72</xdr:row>
      <xdr:rowOff>101984</xdr:rowOff>
    </xdr:to>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2"/>
        <a:stretch>
          <a:fillRect/>
        </a:stretch>
      </xdr:blipFill>
      <xdr:spPr>
        <a:xfrm>
          <a:off x="741045" y="5549900"/>
          <a:ext cx="5969000" cy="7213600"/>
        </a:xfrm>
        <a:prstGeom prst="rect">
          <a:avLst/>
        </a:prstGeom>
      </xdr:spPr>
    </xdr:pic>
    <xdr:clientData/>
  </xdr:twoCellAnchor>
  <xdr:twoCellAnchor editAs="oneCell">
    <xdr:from>
      <xdr:col>1</xdr:col>
      <xdr:colOff>209550</xdr:colOff>
      <xdr:row>71</xdr:row>
      <xdr:rowOff>171450</xdr:rowOff>
    </xdr:from>
    <xdr:to>
      <xdr:col>4</xdr:col>
      <xdr:colOff>343169</xdr:colOff>
      <xdr:row>79</xdr:row>
      <xdr:rowOff>133424</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3"/>
        <a:stretch>
          <a:fillRect/>
        </a:stretch>
      </xdr:blipFill>
      <xdr:spPr>
        <a:xfrm>
          <a:off x="950595" y="12655550"/>
          <a:ext cx="5702300" cy="1384300"/>
        </a:xfrm>
        <a:prstGeom prst="rect">
          <a:avLst/>
        </a:prstGeom>
      </xdr:spPr>
    </xdr:pic>
    <xdr:clientData/>
  </xdr:twoCellAnchor>
  <xdr:twoCellAnchor editAs="oneCell">
    <xdr:from>
      <xdr:col>6</xdr:col>
      <xdr:colOff>215900</xdr:colOff>
      <xdr:row>40</xdr:row>
      <xdr:rowOff>63500</xdr:rowOff>
    </xdr:from>
    <xdr:to>
      <xdr:col>14</xdr:col>
      <xdr:colOff>197230</xdr:colOff>
      <xdr:row>78</xdr:row>
      <xdr:rowOff>152764</xdr:rowOff>
    </xdr:to>
    <xdr:pic>
      <xdr:nvPicPr>
        <xdr:cNvPr id="6" name="Picture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4"/>
        <a:stretch>
          <a:fillRect/>
        </a:stretch>
      </xdr:blipFill>
      <xdr:spPr>
        <a:xfrm>
          <a:off x="7675245" y="7035800"/>
          <a:ext cx="8090535" cy="68453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mailto:vijaya.kumar@kasapreko.com" TargetMode="External"/><Relationship Id="rId2" Type="http://schemas.openxmlformats.org/officeDocument/2006/relationships/hyperlink" Target="mailto:Thomas.Asante@unilever.com" TargetMode="External"/><Relationship Id="rId1" Type="http://schemas.openxmlformats.org/officeDocument/2006/relationships/hyperlink" Target="mailto:Jackline.Mitei@lipton.com" TargetMode="External"/><Relationship Id="rId6" Type="http://schemas.openxmlformats.org/officeDocument/2006/relationships/hyperlink" Target="mailto:patrick.chukwumba@heineken.com" TargetMode="External"/><Relationship Id="rId5" Type="http://schemas.openxmlformats.org/officeDocument/2006/relationships/hyperlink" Target="mailto:patrick.chukwumba@heineken.com" TargetMode="External"/><Relationship Id="rId4" Type="http://schemas.openxmlformats.org/officeDocument/2006/relationships/hyperlink" Target="mailto:kaumin@brush.co.ke"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stimatracker.com/"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data.bls.gov/pdq/SurveyOutputServlet"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Z16"/>
  <sheetViews>
    <sheetView showGridLines="0" zoomScale="85" zoomScaleNormal="85" workbookViewId="0">
      <pane xSplit="2" topLeftCell="C1" activePane="topRight" state="frozen"/>
      <selection pane="topRight" activeCell="F7" sqref="F7"/>
    </sheetView>
  </sheetViews>
  <sheetFormatPr defaultColWidth="8.7265625" defaultRowHeight="13"/>
  <cols>
    <col min="1" max="1" width="9.453125" style="318" customWidth="1"/>
    <col min="2" max="2" width="23.453125" style="318" customWidth="1"/>
    <col min="3" max="3" width="17.26953125" style="318" customWidth="1"/>
    <col min="4" max="4" width="33.453125" style="318" customWidth="1"/>
    <col min="5" max="5" width="9" style="318" customWidth="1"/>
    <col min="6" max="6" width="6.453125" style="318" customWidth="1"/>
    <col min="7" max="7" width="15" style="318" customWidth="1"/>
    <col min="8" max="8" width="20.453125" style="318" customWidth="1"/>
    <col min="9" max="9" width="9" style="318" customWidth="1"/>
    <col min="10" max="10" width="14.7265625" style="318" customWidth="1"/>
    <col min="11" max="11" width="9" style="318" customWidth="1"/>
    <col min="12" max="12" width="7.26953125" style="318" customWidth="1"/>
    <col min="13" max="13" width="1.26953125" style="318" customWidth="1"/>
    <col min="14" max="14" width="10.7265625" style="318" customWidth="1"/>
    <col min="15" max="15" width="9.453125" style="318" customWidth="1"/>
    <col min="16" max="16" width="10.1796875" style="318" customWidth="1"/>
    <col min="17" max="17" width="1.26953125" style="318" customWidth="1"/>
    <col min="18" max="18" width="10.1796875" style="318" customWidth="1"/>
    <col min="19" max="19" width="9.453125" style="318" customWidth="1"/>
    <col min="20" max="20" width="10.1796875" style="318" customWidth="1"/>
    <col min="21" max="21" width="1.26953125" style="318" customWidth="1"/>
    <col min="22" max="23" width="9.453125" style="318" customWidth="1"/>
    <col min="24" max="24" width="1.26953125" style="318" customWidth="1"/>
    <col min="25" max="25" width="10" style="318" customWidth="1"/>
    <col min="26" max="26" width="1.26953125" style="318" customWidth="1"/>
    <col min="27" max="28" width="9.453125" style="318" customWidth="1"/>
    <col min="29" max="29" width="1.26953125" style="318" customWidth="1"/>
    <col min="30" max="31" width="9.453125" style="318" customWidth="1"/>
    <col min="32" max="32" width="25.81640625" style="318" customWidth="1"/>
    <col min="33" max="33" width="0.81640625" style="318" customWidth="1"/>
    <col min="34" max="36" width="8.7265625" style="318"/>
    <col min="37" max="37" width="12.453125" style="318" customWidth="1"/>
    <col min="38" max="38" width="33.453125" style="318" customWidth="1"/>
    <col min="39" max="16384" width="8.7265625" style="318"/>
  </cols>
  <sheetData>
    <row r="1" spans="1:52" ht="15" customHeight="1">
      <c r="G1" s="369" t="s">
        <v>0</v>
      </c>
      <c r="H1" s="370"/>
      <c r="I1" s="370"/>
      <c r="J1" s="370"/>
      <c r="K1" s="370"/>
      <c r="L1" s="371"/>
      <c r="M1" s="333"/>
      <c r="N1" s="334"/>
      <c r="O1" s="334"/>
      <c r="P1" s="334"/>
      <c r="Q1" s="333"/>
      <c r="R1" s="334"/>
      <c r="S1" s="334"/>
      <c r="T1" s="334"/>
      <c r="U1" s="333"/>
      <c r="V1" s="334"/>
      <c r="W1" s="334"/>
      <c r="X1" s="333"/>
      <c r="Y1" s="334"/>
      <c r="Z1" s="333"/>
      <c r="AA1" s="334"/>
      <c r="AB1" s="334"/>
      <c r="AC1" s="333"/>
      <c r="AD1" s="334"/>
      <c r="AE1" s="334"/>
      <c r="AF1" s="334"/>
      <c r="AH1" s="369" t="s">
        <v>1</v>
      </c>
      <c r="AI1" s="370"/>
      <c r="AJ1" s="370"/>
      <c r="AK1" s="371"/>
      <c r="AL1" s="318" t="s">
        <v>2</v>
      </c>
    </row>
    <row r="2" spans="1:52" s="317" customFormat="1" ht="52">
      <c r="A2" s="319" t="s">
        <v>3</v>
      </c>
      <c r="B2" s="319" t="s">
        <v>4</v>
      </c>
      <c r="C2" s="319" t="s">
        <v>5</v>
      </c>
      <c r="D2" s="319" t="s">
        <v>6</v>
      </c>
      <c r="E2" s="319" t="s">
        <v>7</v>
      </c>
      <c r="F2" s="319" t="s">
        <v>8</v>
      </c>
      <c r="G2" s="319" t="s">
        <v>9</v>
      </c>
      <c r="H2" s="319" t="s">
        <v>10</v>
      </c>
      <c r="I2" s="319" t="s">
        <v>11</v>
      </c>
      <c r="J2" s="319" t="s">
        <v>12</v>
      </c>
      <c r="K2" s="319" t="s">
        <v>13</v>
      </c>
      <c r="L2" s="335" t="s">
        <v>14</v>
      </c>
      <c r="M2" s="336"/>
      <c r="N2" s="335" t="s">
        <v>15</v>
      </c>
      <c r="O2" s="319" t="s">
        <v>16</v>
      </c>
      <c r="P2" s="335" t="s">
        <v>17</v>
      </c>
      <c r="Q2" s="336"/>
      <c r="R2" s="335" t="s">
        <v>18</v>
      </c>
      <c r="S2" s="319" t="s">
        <v>16</v>
      </c>
      <c r="T2" s="335" t="s">
        <v>19</v>
      </c>
      <c r="U2" s="336"/>
      <c r="V2" s="319" t="s">
        <v>20</v>
      </c>
      <c r="W2" s="319" t="s">
        <v>21</v>
      </c>
      <c r="X2" s="336"/>
      <c r="Y2" s="335" t="s">
        <v>22</v>
      </c>
      <c r="Z2" s="336"/>
      <c r="AA2" s="335" t="s">
        <v>23</v>
      </c>
      <c r="AB2" s="335" t="s">
        <v>24</v>
      </c>
      <c r="AC2" s="336"/>
      <c r="AD2" s="372" t="s">
        <v>25</v>
      </c>
      <c r="AE2" s="372"/>
      <c r="AF2" s="358" t="s">
        <v>26</v>
      </c>
      <c r="AH2" s="319" t="s">
        <v>16</v>
      </c>
      <c r="AI2" s="319" t="s">
        <v>20</v>
      </c>
      <c r="AJ2" s="319" t="s">
        <v>21</v>
      </c>
      <c r="AK2" s="335" t="s">
        <v>27</v>
      </c>
      <c r="AL2" s="318"/>
    </row>
    <row r="3" spans="1:52" ht="12.75" customHeight="1">
      <c r="A3" s="320" t="s">
        <v>28</v>
      </c>
      <c r="B3" s="321" t="s">
        <v>29</v>
      </c>
      <c r="C3" s="322" t="s">
        <v>30</v>
      </c>
      <c r="D3" s="323" t="s">
        <v>31</v>
      </c>
      <c r="E3" s="324">
        <f>'UTK01'!J67</f>
        <v>43612.875</v>
      </c>
      <c r="F3" s="325" t="s">
        <v>32</v>
      </c>
      <c r="G3" s="326">
        <v>44347</v>
      </c>
      <c r="H3" s="327" t="s">
        <v>33</v>
      </c>
      <c r="I3" s="337" t="s">
        <v>34</v>
      </c>
      <c r="J3" s="337" t="s">
        <v>34</v>
      </c>
      <c r="K3" s="338" t="s">
        <v>35</v>
      </c>
      <c r="L3" s="337" t="s">
        <v>34</v>
      </c>
      <c r="M3" s="339"/>
      <c r="N3" s="340">
        <f>'UTK01'!D61</f>
        <v>17.994194587495301</v>
      </c>
      <c r="O3" s="341">
        <f>'UTK01'!D76</f>
        <v>0.05</v>
      </c>
      <c r="P3" s="342">
        <f t="shared" ref="P3:P10" si="0">N3*(1-O3)</f>
        <v>17.094484858120602</v>
      </c>
      <c r="Q3" s="339"/>
      <c r="R3" s="349">
        <v>0</v>
      </c>
      <c r="S3" s="349">
        <v>0</v>
      </c>
      <c r="T3" s="342">
        <f>R3*(1-S3)</f>
        <v>0</v>
      </c>
      <c r="U3" s="339"/>
      <c r="V3" s="352">
        <f>'UTK01'!$H$76</f>
        <v>0.121309036679687</v>
      </c>
      <c r="W3" s="352">
        <f>'UTK01'!$I$76</f>
        <v>0.27595322265625</v>
      </c>
      <c r="X3" s="339"/>
      <c r="Y3" s="359">
        <v>130.22999999999999</v>
      </c>
      <c r="Z3" s="339"/>
      <c r="AA3" s="352">
        <f>P3/Y3</f>
        <v>0.131263801413811</v>
      </c>
      <c r="AB3" s="349">
        <v>0</v>
      </c>
      <c r="AC3" s="339"/>
      <c r="AD3" s="360">
        <f>IF(V3&gt;AA3,V3,AA3)</f>
        <v>0.131263801413811</v>
      </c>
      <c r="AE3" s="360">
        <v>0</v>
      </c>
      <c r="AF3" s="361" t="s">
        <v>36</v>
      </c>
      <c r="AH3" s="337" t="s">
        <v>37</v>
      </c>
      <c r="AI3" s="337" t="s">
        <v>37</v>
      </c>
      <c r="AJ3" s="337" t="s">
        <v>37</v>
      </c>
      <c r="AK3" s="337" t="s">
        <v>37</v>
      </c>
      <c r="AL3" s="363" t="s">
        <v>38</v>
      </c>
      <c r="AM3" s="364" t="s">
        <v>39</v>
      </c>
    </row>
    <row r="4" spans="1:52" ht="14">
      <c r="A4" s="320" t="s">
        <v>40</v>
      </c>
      <c r="B4" s="328" t="s">
        <v>41</v>
      </c>
      <c r="C4" s="329" t="s">
        <v>42</v>
      </c>
      <c r="D4" s="330" t="s">
        <v>43</v>
      </c>
      <c r="E4" s="324">
        <f>'UGL01'!P64</f>
        <v>44201.875</v>
      </c>
      <c r="F4" s="325" t="s">
        <v>44</v>
      </c>
      <c r="G4" s="326">
        <v>44926</v>
      </c>
      <c r="H4" s="327" t="s">
        <v>45</v>
      </c>
      <c r="I4" s="337" t="s">
        <v>34</v>
      </c>
      <c r="J4" s="337" t="s">
        <v>34</v>
      </c>
      <c r="K4" s="337" t="s">
        <v>34</v>
      </c>
      <c r="L4" s="337" t="s">
        <v>34</v>
      </c>
      <c r="M4" s="343"/>
      <c r="N4" s="344">
        <f>'UGL01'!D71</f>
        <v>1.6535249999999999</v>
      </c>
      <c r="O4" s="341">
        <f>'UGL01'!D79</f>
        <v>0.16</v>
      </c>
      <c r="P4" s="345">
        <f t="shared" si="0"/>
        <v>1.3889609999999999</v>
      </c>
      <c r="Q4" s="343"/>
      <c r="R4" s="349">
        <v>0</v>
      </c>
      <c r="S4" s="349">
        <v>0</v>
      </c>
      <c r="T4" s="345">
        <f t="shared" ref="T4:T10" si="1">R4*(1-S4)</f>
        <v>0</v>
      </c>
      <c r="U4" s="343"/>
      <c r="V4" s="352">
        <f>'UGL01'!N71</f>
        <v>0.141199679814492</v>
      </c>
      <c r="W4" s="352">
        <f>'UGL01'!O71</f>
        <v>0.35329361087862898</v>
      </c>
      <c r="X4" s="343"/>
      <c r="Y4" s="359">
        <v>15.5327</v>
      </c>
      <c r="Z4" s="343"/>
      <c r="AA4" s="352">
        <f t="shared" ref="AA4:AA9" si="2">P4/Y4</f>
        <v>8.9421736079368097E-2</v>
      </c>
      <c r="AB4" s="349">
        <v>0</v>
      </c>
      <c r="AC4" s="343"/>
      <c r="AD4" s="360">
        <f t="shared" ref="AD4:AD9" si="3">IF(V4&gt;AA4,V4,AA4)</f>
        <v>0.141199679814492</v>
      </c>
      <c r="AE4" s="360">
        <v>0</v>
      </c>
      <c r="AF4" s="361" t="s">
        <v>20</v>
      </c>
      <c r="AH4" s="337" t="s">
        <v>37</v>
      </c>
      <c r="AI4" s="338" t="s">
        <v>46</v>
      </c>
      <c r="AJ4" s="338" t="s">
        <v>46</v>
      </c>
      <c r="AK4" s="338" t="s">
        <v>46</v>
      </c>
      <c r="AM4" s="364" t="s">
        <v>47</v>
      </c>
    </row>
    <row r="5" spans="1:52" ht="14">
      <c r="A5" s="320" t="s">
        <v>48</v>
      </c>
      <c r="B5" s="328" t="s">
        <v>49</v>
      </c>
      <c r="C5" s="329" t="s">
        <v>50</v>
      </c>
      <c r="D5" s="330" t="s">
        <v>51</v>
      </c>
      <c r="E5" s="324">
        <f>'KAS01'!N61</f>
        <v>43390</v>
      </c>
      <c r="F5" s="325" t="s">
        <v>52</v>
      </c>
      <c r="G5" s="326">
        <v>44592</v>
      </c>
      <c r="H5" s="327" t="s">
        <v>53</v>
      </c>
      <c r="I5" s="337" t="s">
        <v>34</v>
      </c>
      <c r="J5" s="337" t="s">
        <v>34</v>
      </c>
      <c r="K5" s="337" t="s">
        <v>34</v>
      </c>
      <c r="L5" s="337" t="s">
        <v>34</v>
      </c>
      <c r="M5" s="339"/>
      <c r="N5" s="344">
        <f>'KAS01'!D56</f>
        <v>1.554</v>
      </c>
      <c r="O5" s="341">
        <f>'KAS01'!D62</f>
        <v>0.192</v>
      </c>
      <c r="P5" s="345">
        <f t="shared" si="0"/>
        <v>1.2556320000000001</v>
      </c>
      <c r="Q5" s="339"/>
      <c r="R5" s="349">
        <v>0</v>
      </c>
      <c r="S5" s="349">
        <v>0</v>
      </c>
      <c r="T5" s="345">
        <f t="shared" si="1"/>
        <v>0</v>
      </c>
      <c r="U5" s="339"/>
      <c r="V5" s="352">
        <f>'KAS01'!J68</f>
        <v>9.4120240625000004E-2</v>
      </c>
      <c r="W5" s="349">
        <v>0</v>
      </c>
      <c r="X5" s="339"/>
      <c r="Y5" s="359">
        <f>Y4</f>
        <v>15.5327</v>
      </c>
      <c r="Z5" s="339"/>
      <c r="AA5" s="352">
        <f t="shared" si="2"/>
        <v>8.0837974080488303E-2</v>
      </c>
      <c r="AB5" s="349">
        <v>0</v>
      </c>
      <c r="AC5" s="339"/>
      <c r="AD5" s="360">
        <f t="shared" si="3"/>
        <v>9.4120240625000004E-2</v>
      </c>
      <c r="AE5" s="360">
        <v>0</v>
      </c>
      <c r="AF5" s="361" t="s">
        <v>20</v>
      </c>
      <c r="AH5" s="337" t="s">
        <v>37</v>
      </c>
      <c r="AI5" s="338" t="s">
        <v>46</v>
      </c>
      <c r="AJ5" s="346" t="s">
        <v>54</v>
      </c>
      <c r="AK5" s="337" t="s">
        <v>37</v>
      </c>
      <c r="AL5" s="318" t="s">
        <v>55</v>
      </c>
      <c r="AM5" s="364" t="s">
        <v>56</v>
      </c>
    </row>
    <row r="6" spans="1:52" ht="14">
      <c r="A6" s="320" t="s">
        <v>57</v>
      </c>
      <c r="B6" s="321" t="s">
        <v>58</v>
      </c>
      <c r="C6" s="329" t="s">
        <v>59</v>
      </c>
      <c r="D6" s="323" t="s">
        <v>60</v>
      </c>
      <c r="E6" s="324">
        <f>'TBM01'!O48</f>
        <v>44965.875</v>
      </c>
      <c r="F6" s="325" t="s">
        <v>61</v>
      </c>
      <c r="G6" s="326">
        <v>44985</v>
      </c>
      <c r="H6" s="327" t="s">
        <v>62</v>
      </c>
      <c r="I6" s="337" t="s">
        <v>34</v>
      </c>
      <c r="J6" s="337" t="s">
        <v>34</v>
      </c>
      <c r="K6" s="337" t="s">
        <v>34</v>
      </c>
      <c r="L6" s="337" t="s">
        <v>34</v>
      </c>
      <c r="M6" s="339"/>
      <c r="N6" s="340">
        <f>'TBM01'!D42</f>
        <v>19.002242850607502</v>
      </c>
      <c r="O6" s="341">
        <f>'TBM01'!D50</f>
        <v>0.55000000000000004</v>
      </c>
      <c r="P6" s="342">
        <f t="shared" si="0"/>
        <v>8.5510092827733697</v>
      </c>
      <c r="Q6" s="339"/>
      <c r="R6" s="349">
        <v>0</v>
      </c>
      <c r="S6" s="349">
        <v>0</v>
      </c>
      <c r="T6" s="342">
        <f t="shared" si="1"/>
        <v>0</v>
      </c>
      <c r="U6" s="339"/>
      <c r="V6" s="352">
        <f>'TBM01'!M53</f>
        <v>6.1499999999999999E-2</v>
      </c>
      <c r="W6" s="352">
        <f>'TBM01'!N53</f>
        <v>0.21</v>
      </c>
      <c r="X6" s="339"/>
      <c r="Y6" s="359">
        <f>Y3</f>
        <v>130.22999999999999</v>
      </c>
      <c r="Z6" s="339"/>
      <c r="AA6" s="352">
        <f t="shared" si="2"/>
        <v>6.5660825330364506E-2</v>
      </c>
      <c r="AB6" s="349">
        <v>0</v>
      </c>
      <c r="AC6" s="339"/>
      <c r="AD6" s="360">
        <f t="shared" si="3"/>
        <v>6.5660825330364506E-2</v>
      </c>
      <c r="AE6" s="360">
        <v>0</v>
      </c>
      <c r="AF6" s="361" t="s">
        <v>36</v>
      </c>
      <c r="AH6" s="337" t="s">
        <v>37</v>
      </c>
      <c r="AI6" s="337" t="s">
        <v>37</v>
      </c>
      <c r="AJ6" s="337" t="s">
        <v>37</v>
      </c>
      <c r="AK6" s="337" t="s">
        <v>37</v>
      </c>
      <c r="AM6" s="364" t="s">
        <v>63</v>
      </c>
    </row>
    <row r="7" spans="1:52" ht="14">
      <c r="A7" s="320" t="s">
        <v>64</v>
      </c>
      <c r="B7" s="328" t="s">
        <v>65</v>
      </c>
      <c r="C7" s="329" t="s">
        <v>66</v>
      </c>
      <c r="D7" s="330" t="s">
        <v>67</v>
      </c>
      <c r="E7" s="324">
        <f>'GBL01'!C41</f>
        <v>44274</v>
      </c>
      <c r="F7" s="325" t="s">
        <v>68</v>
      </c>
      <c r="G7" s="326">
        <v>44286</v>
      </c>
      <c r="H7" s="327" t="s">
        <v>69</v>
      </c>
      <c r="I7" s="337" t="s">
        <v>34</v>
      </c>
      <c r="J7" s="337" t="s">
        <v>34</v>
      </c>
      <c r="K7" s="337" t="s">
        <v>34</v>
      </c>
      <c r="L7" s="337" t="s">
        <v>34</v>
      </c>
      <c r="M7" s="339"/>
      <c r="N7" s="344">
        <f>'GBL01'!E29</f>
        <v>1.57598333333333</v>
      </c>
      <c r="O7" s="341">
        <f>'GBL01'!C37</f>
        <v>0.05</v>
      </c>
      <c r="P7" s="345">
        <f t="shared" si="0"/>
        <v>1.4971841666666701</v>
      </c>
      <c r="Q7" s="339"/>
      <c r="R7" s="344">
        <f>'GBL01'!L29</f>
        <v>4.3463933333333298</v>
      </c>
      <c r="S7" s="341">
        <f>'GBL01'!C37</f>
        <v>0.05</v>
      </c>
      <c r="T7" s="345">
        <f t="shared" si="1"/>
        <v>4.1290736666666703</v>
      </c>
      <c r="U7" s="339"/>
      <c r="V7" s="349">
        <v>0</v>
      </c>
      <c r="W7" s="349">
        <v>0</v>
      </c>
      <c r="X7" s="339"/>
      <c r="Y7" s="359">
        <f>Y4</f>
        <v>15.5327</v>
      </c>
      <c r="Z7" s="339"/>
      <c r="AA7" s="352">
        <f t="shared" si="2"/>
        <v>9.63891768119301E-2</v>
      </c>
      <c r="AB7" s="352">
        <f t="shared" ref="AB7:AB8" si="4">T7/Y7</f>
        <v>0.26583103173734601</v>
      </c>
      <c r="AC7" s="339"/>
      <c r="AD7" s="360">
        <f t="shared" si="3"/>
        <v>9.63891768119301E-2</v>
      </c>
      <c r="AE7" s="360">
        <f>IF(W7&gt;AB7,W7,AB7)</f>
        <v>0.26583103173734601</v>
      </c>
      <c r="AF7" s="361" t="s">
        <v>70</v>
      </c>
      <c r="AH7" s="337" t="s">
        <v>37</v>
      </c>
      <c r="AI7" s="346" t="s">
        <v>54</v>
      </c>
      <c r="AJ7" s="346" t="s">
        <v>54</v>
      </c>
      <c r="AK7" s="337" t="s">
        <v>37</v>
      </c>
      <c r="AM7" s="364" t="s">
        <v>71</v>
      </c>
    </row>
    <row r="8" spans="1:52" ht="14">
      <c r="A8" s="320" t="s">
        <v>72</v>
      </c>
      <c r="B8" s="328" t="s">
        <v>73</v>
      </c>
      <c r="C8" s="329" t="s">
        <v>74</v>
      </c>
      <c r="D8" s="323" t="s">
        <v>75</v>
      </c>
      <c r="E8" s="324">
        <v>44012</v>
      </c>
      <c r="F8" s="325" t="s">
        <v>76</v>
      </c>
      <c r="G8" s="326">
        <v>44985</v>
      </c>
      <c r="H8" s="327" t="s">
        <v>77</v>
      </c>
      <c r="I8" s="337" t="s">
        <v>34</v>
      </c>
      <c r="J8" s="346" t="s">
        <v>54</v>
      </c>
      <c r="K8" s="337" t="s">
        <v>34</v>
      </c>
      <c r="L8" s="337" t="s">
        <v>34</v>
      </c>
      <c r="M8" s="339"/>
      <c r="N8" s="347">
        <f>'JAB01'!D51</f>
        <v>209.5</v>
      </c>
      <c r="O8" s="341">
        <f>'JAB01'!D59</f>
        <v>0.15</v>
      </c>
      <c r="P8" s="348">
        <f t="shared" si="0"/>
        <v>178.07499999999999</v>
      </c>
      <c r="Q8" s="339"/>
      <c r="R8" s="347">
        <f>'JAB01'!M33</f>
        <v>488.488</v>
      </c>
      <c r="S8" s="341">
        <f>'JAB01'!D63</f>
        <v>0.24</v>
      </c>
      <c r="T8" s="353">
        <f t="shared" si="1"/>
        <v>371.25088</v>
      </c>
      <c r="U8" s="339"/>
      <c r="V8" s="352">
        <f>'JAB01'!B55</f>
        <v>7.0999999999999994E-2</v>
      </c>
      <c r="W8" s="352">
        <f>'JAB01'!B56</f>
        <v>0.21</v>
      </c>
      <c r="X8" s="339"/>
      <c r="Y8" s="349">
        <v>1620.04</v>
      </c>
      <c r="Z8" s="339"/>
      <c r="AA8" s="352">
        <f t="shared" si="2"/>
        <v>0.10992012542900199</v>
      </c>
      <c r="AB8" s="352">
        <f t="shared" si="4"/>
        <v>0.22916155156662801</v>
      </c>
      <c r="AC8" s="339"/>
      <c r="AD8" s="360">
        <f t="shared" si="3"/>
        <v>0.10992012542900199</v>
      </c>
      <c r="AE8" s="360">
        <v>0</v>
      </c>
      <c r="AF8" s="361" t="s">
        <v>20</v>
      </c>
      <c r="AH8" s="337" t="s">
        <v>37</v>
      </c>
      <c r="AI8" s="337" t="s">
        <v>37</v>
      </c>
      <c r="AJ8" s="337" t="s">
        <v>37</v>
      </c>
      <c r="AK8" s="338" t="s">
        <v>46</v>
      </c>
      <c r="AL8" s="318" t="s">
        <v>78</v>
      </c>
      <c r="AM8" s="364" t="s">
        <v>79</v>
      </c>
      <c r="AP8" s="365" t="s">
        <v>80</v>
      </c>
      <c r="AQ8" s="366"/>
      <c r="AR8" s="366"/>
      <c r="AS8" s="366"/>
      <c r="AT8" s="366"/>
      <c r="AU8" s="366"/>
      <c r="AV8" s="366"/>
      <c r="AW8" s="366"/>
      <c r="AX8" s="366"/>
      <c r="AY8" s="366"/>
      <c r="AZ8" s="367"/>
    </row>
    <row r="9" spans="1:52" ht="28">
      <c r="A9" s="320" t="s">
        <v>81</v>
      </c>
      <c r="B9" s="331" t="s">
        <v>82</v>
      </c>
      <c r="C9" s="329" t="s">
        <v>83</v>
      </c>
      <c r="D9" s="323" t="s">
        <v>84</v>
      </c>
      <c r="E9" s="324">
        <v>44249</v>
      </c>
      <c r="F9" s="325" t="s">
        <v>61</v>
      </c>
      <c r="G9" s="326">
        <v>44926</v>
      </c>
      <c r="H9" s="327" t="s">
        <v>62</v>
      </c>
      <c r="I9" s="337" t="s">
        <v>34</v>
      </c>
      <c r="J9" s="337" t="s">
        <v>34</v>
      </c>
      <c r="K9" s="337" t="s">
        <v>34</v>
      </c>
      <c r="L9" s="337" t="s">
        <v>34</v>
      </c>
      <c r="M9" s="339"/>
      <c r="N9" s="349">
        <v>0</v>
      </c>
      <c r="O9" s="349">
        <v>0</v>
      </c>
      <c r="P9" s="348">
        <f t="shared" si="0"/>
        <v>0</v>
      </c>
      <c r="Q9" s="339"/>
      <c r="R9" s="347">
        <f>'NBL01'!C55</f>
        <v>384.10917885086599</v>
      </c>
      <c r="S9" s="341">
        <v>0.15</v>
      </c>
      <c r="T9" s="348">
        <f t="shared" si="1"/>
        <v>326.49280202323598</v>
      </c>
      <c r="U9" s="339"/>
      <c r="V9" s="352">
        <f>'NBL01'!L65</f>
        <v>8.6043560937499999E-2</v>
      </c>
      <c r="W9" s="352">
        <f>'NBL01'!M65</f>
        <v>0.24199999999999999</v>
      </c>
      <c r="X9" s="339"/>
      <c r="Y9" s="349">
        <f>Y8</f>
        <v>1620.04</v>
      </c>
      <c r="Z9" s="339"/>
      <c r="AA9" s="352">
        <f t="shared" si="2"/>
        <v>0</v>
      </c>
      <c r="AB9" s="349">
        <v>0</v>
      </c>
      <c r="AC9" s="339"/>
      <c r="AD9" s="360">
        <f t="shared" si="3"/>
        <v>8.6043560937499999E-2</v>
      </c>
      <c r="AE9" s="360">
        <v>0</v>
      </c>
      <c r="AF9" s="361" t="s">
        <v>36</v>
      </c>
      <c r="AH9" s="337" t="s">
        <v>37</v>
      </c>
      <c r="AI9" s="337" t="s">
        <v>37</v>
      </c>
      <c r="AJ9" s="337" t="s">
        <v>37</v>
      </c>
      <c r="AK9" s="337" t="s">
        <v>37</v>
      </c>
      <c r="AM9" s="364" t="s">
        <v>85</v>
      </c>
    </row>
    <row r="10" spans="1:52" ht="28">
      <c r="A10" s="320" t="s">
        <v>86</v>
      </c>
      <c r="B10" s="331" t="s">
        <v>87</v>
      </c>
      <c r="C10" s="329" t="s">
        <v>83</v>
      </c>
      <c r="D10" s="323" t="s">
        <v>84</v>
      </c>
      <c r="E10" s="324">
        <v>44984</v>
      </c>
      <c r="F10" s="325" t="s">
        <v>61</v>
      </c>
      <c r="G10" s="326" t="s">
        <v>88</v>
      </c>
      <c r="H10" s="327" t="s">
        <v>62</v>
      </c>
      <c r="I10" s="337" t="s">
        <v>34</v>
      </c>
      <c r="J10" s="337" t="s">
        <v>34</v>
      </c>
      <c r="K10" s="337" t="s">
        <v>34</v>
      </c>
      <c r="L10" s="337" t="s">
        <v>34</v>
      </c>
      <c r="M10" s="339"/>
      <c r="N10" s="349">
        <v>0</v>
      </c>
      <c r="O10" s="349">
        <v>0</v>
      </c>
      <c r="P10" s="348">
        <f t="shared" si="0"/>
        <v>0</v>
      </c>
      <c r="Q10" s="339"/>
      <c r="R10" s="347">
        <f>'NBL02'!C29</f>
        <v>236.11804582570599</v>
      </c>
      <c r="S10" s="341">
        <f>'NBL02'!C35</f>
        <v>0.23200000000000001</v>
      </c>
      <c r="T10" s="348">
        <f t="shared" si="1"/>
        <v>181.338659194142</v>
      </c>
      <c r="U10" s="339"/>
      <c r="V10" s="352">
        <f>'NBL02'!L37</f>
        <v>8.1098500000000004E-2</v>
      </c>
      <c r="W10" s="352">
        <f>'NBL02'!M37</f>
        <v>0.21</v>
      </c>
      <c r="X10" s="339"/>
      <c r="Y10" s="349">
        <f>Y9</f>
        <v>1620.04</v>
      </c>
      <c r="Z10" s="339"/>
      <c r="AA10" s="349">
        <v>0</v>
      </c>
      <c r="AB10" s="352">
        <f>T10/Y10</f>
        <v>0.11193468012773899</v>
      </c>
      <c r="AC10" s="339"/>
      <c r="AD10" s="362">
        <v>0</v>
      </c>
      <c r="AE10" s="360">
        <f>IF(V10&gt;AB10,V10,AB10)</f>
        <v>0.11193468012773899</v>
      </c>
      <c r="AF10" s="361" t="s">
        <v>89</v>
      </c>
      <c r="AH10" s="338" t="s">
        <v>46</v>
      </c>
      <c r="AI10" s="337" t="s">
        <v>37</v>
      </c>
      <c r="AJ10" s="337" t="s">
        <v>37</v>
      </c>
      <c r="AK10" s="337" t="s">
        <v>37</v>
      </c>
      <c r="AL10" s="318" t="s">
        <v>90</v>
      </c>
      <c r="AM10" s="364" t="s">
        <v>91</v>
      </c>
    </row>
    <row r="11" spans="1:52">
      <c r="M11" s="350"/>
      <c r="P11" s="350"/>
      <c r="Q11" s="350"/>
      <c r="T11" s="354"/>
      <c r="U11" s="350"/>
      <c r="V11" s="350"/>
      <c r="X11" s="350"/>
      <c r="Z11" s="350"/>
      <c r="AC11" s="350"/>
    </row>
    <row r="12" spans="1:52" ht="13" customHeight="1">
      <c r="G12" s="373" t="s">
        <v>92</v>
      </c>
      <c r="H12" s="373"/>
      <c r="I12" s="373"/>
      <c r="J12" s="373"/>
      <c r="K12" s="373"/>
      <c r="L12" s="373"/>
      <c r="M12" s="351"/>
      <c r="N12" s="332"/>
      <c r="O12" s="332"/>
      <c r="P12" s="332"/>
      <c r="Q12" s="351"/>
      <c r="R12" s="332"/>
      <c r="S12" s="332"/>
      <c r="T12" s="332"/>
      <c r="U12" s="351"/>
      <c r="V12" s="332"/>
      <c r="W12" s="332"/>
      <c r="X12" s="351"/>
      <c r="Y12" s="332"/>
      <c r="Z12" s="351"/>
      <c r="AA12" s="332"/>
      <c r="AB12" s="332"/>
      <c r="AC12" s="351"/>
      <c r="AD12" s="332"/>
      <c r="AE12" s="332"/>
      <c r="AF12" s="332"/>
      <c r="AH12" s="374" t="s">
        <v>93</v>
      </c>
      <c r="AI12" s="374"/>
      <c r="AJ12" s="374"/>
      <c r="AK12" s="374"/>
    </row>
    <row r="15" spans="1:52">
      <c r="S15" s="355"/>
      <c r="T15" s="356"/>
    </row>
    <row r="16" spans="1:52">
      <c r="R16" s="357"/>
    </row>
  </sheetData>
  <mergeCells count="5">
    <mergeCell ref="G1:L1"/>
    <mergeCell ref="AH1:AK1"/>
    <mergeCell ref="AD2:AE2"/>
    <mergeCell ref="G12:L12"/>
    <mergeCell ref="AH12:AK12"/>
  </mergeCells>
  <hyperlinks>
    <hyperlink ref="D3" r:id="rId1" xr:uid="{00000000-0004-0000-0000-000000000000}"/>
    <hyperlink ref="D4" r:id="rId2" xr:uid="{00000000-0004-0000-0000-000001000000}"/>
    <hyperlink ref="D5" r:id="rId3" xr:uid="{00000000-0004-0000-0000-000002000000}"/>
    <hyperlink ref="D6" r:id="rId4" xr:uid="{00000000-0004-0000-0000-000003000000}"/>
    <hyperlink ref="D9" r:id="rId5" xr:uid="{00000000-0004-0000-0000-000004000000}"/>
    <hyperlink ref="D10" r:id="rId6" xr:uid="{00000000-0004-0000-0000-000005000000}"/>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Y47"/>
  <sheetViews>
    <sheetView tabSelected="1" topLeftCell="A14" workbookViewId="0">
      <selection activeCell="E28" sqref="E28"/>
    </sheetView>
  </sheetViews>
  <sheetFormatPr defaultColWidth="9" defaultRowHeight="14"/>
  <cols>
    <col min="1" max="1" width="9.7265625" customWidth="1"/>
    <col min="2" max="2" width="27" customWidth="1"/>
    <col min="3" max="3" width="27.26953125" customWidth="1"/>
    <col min="4" max="4" width="18.81640625" customWidth="1"/>
    <col min="5" max="5" width="12.6328125" customWidth="1"/>
    <col min="6" max="6" width="5.6328125" customWidth="1"/>
    <col min="7" max="7" width="12.453125" customWidth="1"/>
    <col min="8" max="8" width="15.453125" customWidth="1"/>
    <col min="9" max="9" width="18" customWidth="1"/>
    <col min="10" max="10" width="17.453125" customWidth="1"/>
    <col min="11" max="11" width="9.453125" customWidth="1"/>
    <col min="13" max="13" width="9.7265625" customWidth="1"/>
    <col min="14" max="14" width="14.81640625" customWidth="1"/>
    <col min="15" max="15" width="13.7265625" customWidth="1"/>
    <col min="17" max="17" width="16.81640625" customWidth="1"/>
    <col min="19" max="19" width="9.7265625" customWidth="1"/>
    <col min="24" max="24" width="15.26953125" customWidth="1"/>
  </cols>
  <sheetData>
    <row r="1" spans="1:25">
      <c r="A1" s="406" t="s">
        <v>250</v>
      </c>
      <c r="B1" s="407"/>
      <c r="C1" s="407"/>
      <c r="D1" s="407"/>
      <c r="E1" s="408"/>
      <c r="G1" s="406" t="s">
        <v>251</v>
      </c>
      <c r="H1" s="407"/>
      <c r="I1" s="407"/>
      <c r="J1" s="407"/>
      <c r="K1" s="408"/>
      <c r="M1" s="406" t="s">
        <v>252</v>
      </c>
      <c r="N1" s="407"/>
      <c r="O1" s="407"/>
      <c r="P1" s="407"/>
      <c r="Q1" s="408"/>
      <c r="S1" s="406" t="s">
        <v>253</v>
      </c>
      <c r="T1" s="407"/>
      <c r="U1" s="407"/>
      <c r="V1" s="407"/>
      <c r="W1" s="408"/>
    </row>
    <row r="2" spans="1:25">
      <c r="A2" s="1" t="s">
        <v>141</v>
      </c>
      <c r="B2" t="s">
        <v>142</v>
      </c>
      <c r="C2" t="s">
        <v>143</v>
      </c>
      <c r="D2" t="s">
        <v>144</v>
      </c>
      <c r="E2" s="2" t="s">
        <v>145</v>
      </c>
      <c r="G2" s="1" t="s">
        <v>141</v>
      </c>
      <c r="H2" t="s">
        <v>142</v>
      </c>
      <c r="I2" t="s">
        <v>143</v>
      </c>
      <c r="J2" t="s">
        <v>144</v>
      </c>
      <c r="K2" s="2" t="s">
        <v>145</v>
      </c>
      <c r="M2" s="1" t="s">
        <v>141</v>
      </c>
      <c r="N2" t="s">
        <v>142</v>
      </c>
      <c r="O2" t="s">
        <v>143</v>
      </c>
      <c r="P2" t="s">
        <v>144</v>
      </c>
      <c r="Q2" s="2" t="s">
        <v>145</v>
      </c>
      <c r="S2" s="1" t="s">
        <v>141</v>
      </c>
      <c r="T2" t="s">
        <v>142</v>
      </c>
      <c r="U2" t="s">
        <v>143</v>
      </c>
      <c r="V2" t="s">
        <v>144</v>
      </c>
      <c r="W2" s="2" t="s">
        <v>145</v>
      </c>
    </row>
    <row r="3" spans="1:25">
      <c r="A3" s="3" t="s">
        <v>104</v>
      </c>
      <c r="B3" s="4" t="s">
        <v>148</v>
      </c>
      <c r="C3" s="4" t="s">
        <v>149</v>
      </c>
      <c r="D3" s="4" t="s">
        <v>150</v>
      </c>
      <c r="E3" s="5" t="s">
        <v>112</v>
      </c>
      <c r="G3" s="3" t="s">
        <v>104</v>
      </c>
      <c r="H3" s="4" t="s">
        <v>148</v>
      </c>
      <c r="I3" s="4" t="s">
        <v>149</v>
      </c>
      <c r="J3" s="4" t="s">
        <v>150</v>
      </c>
      <c r="K3" s="5" t="s">
        <v>112</v>
      </c>
      <c r="M3" s="3" t="s">
        <v>104</v>
      </c>
      <c r="N3" s="4" t="s">
        <v>148</v>
      </c>
      <c r="O3" s="4" t="s">
        <v>149</v>
      </c>
      <c r="P3" s="4" t="s">
        <v>150</v>
      </c>
      <c r="Q3" s="5" t="s">
        <v>112</v>
      </c>
      <c r="S3" s="3" t="s">
        <v>104</v>
      </c>
      <c r="T3" s="4" t="s">
        <v>148</v>
      </c>
      <c r="U3" s="4" t="s">
        <v>149</v>
      </c>
      <c r="V3" s="4" t="s">
        <v>150</v>
      </c>
      <c r="W3" s="5" t="s">
        <v>112</v>
      </c>
    </row>
    <row r="4" spans="1:25" hidden="1">
      <c r="A4" s="6">
        <v>45473</v>
      </c>
      <c r="B4" s="7">
        <v>1.5251999999999999</v>
      </c>
      <c r="C4" s="7">
        <v>3.0499999999999999E-2</v>
      </c>
      <c r="D4" s="7">
        <v>4.58E-2</v>
      </c>
      <c r="E4" s="8">
        <f t="shared" ref="E4:E18" si="0">SUM(B4:D4)</f>
        <v>1.6014999999999999</v>
      </c>
      <c r="F4" s="9"/>
      <c r="G4" s="10">
        <v>45473</v>
      </c>
      <c r="H4" s="7">
        <v>1.5251999999999999</v>
      </c>
      <c r="I4" s="7">
        <v>3.0499999999999999E-2</v>
      </c>
      <c r="J4" s="7">
        <v>4.58E-2</v>
      </c>
      <c r="K4" s="8">
        <f t="shared" ref="K4:K18" si="1">SUM(H4:J4)</f>
        <v>1.6014999999999999</v>
      </c>
      <c r="L4" s="41"/>
      <c r="M4" s="10">
        <v>45473</v>
      </c>
      <c r="N4" s="7">
        <v>1.5251999999999999</v>
      </c>
      <c r="O4" s="7">
        <v>3.0499999999999999E-2</v>
      </c>
      <c r="P4" s="7">
        <v>4.58E-2</v>
      </c>
      <c r="Q4" s="8">
        <f t="shared" ref="Q4:Q18" si="2">SUM(N4:P4)</f>
        <v>1.6014999999999999</v>
      </c>
      <c r="R4" s="41"/>
      <c r="S4" s="10">
        <v>45473</v>
      </c>
      <c r="T4" s="7">
        <v>1.5251999999999999</v>
      </c>
      <c r="U4" s="7">
        <v>3.0499999999999999E-2</v>
      </c>
      <c r="V4" s="7">
        <v>4.58E-2</v>
      </c>
      <c r="W4" s="52">
        <f t="shared" ref="W4:W18" si="3">SUM(T4:V4)</f>
        <v>1.6014999999999999</v>
      </c>
    </row>
    <row r="5" spans="1:25" hidden="1">
      <c r="A5" s="11">
        <v>45504</v>
      </c>
      <c r="B5" s="12">
        <v>1.6001000000000001</v>
      </c>
      <c r="C5" s="12">
        <v>3.2000000000000001E-2</v>
      </c>
      <c r="D5" s="12">
        <v>4.8000000000000001E-2</v>
      </c>
      <c r="E5" s="13">
        <f t="shared" si="0"/>
        <v>1.6800999999999999</v>
      </c>
      <c r="F5" s="14"/>
      <c r="G5" s="15">
        <v>45504</v>
      </c>
      <c r="H5" s="12">
        <v>1.6001000000000001</v>
      </c>
      <c r="I5" s="12">
        <v>3.2000000000000001E-2</v>
      </c>
      <c r="J5" s="12">
        <v>4.8000000000000001E-2</v>
      </c>
      <c r="K5" s="13">
        <f t="shared" si="1"/>
        <v>1.6800999999999999</v>
      </c>
      <c r="M5" s="15">
        <v>45504</v>
      </c>
      <c r="N5" s="12">
        <v>1.6001000000000001</v>
      </c>
      <c r="O5" s="12">
        <v>3.2000000000000001E-2</v>
      </c>
      <c r="P5" s="12">
        <v>4.8000000000000001E-2</v>
      </c>
      <c r="Q5" s="13">
        <f t="shared" si="2"/>
        <v>1.6800999999999999</v>
      </c>
      <c r="S5" s="15">
        <v>45504</v>
      </c>
      <c r="T5" s="12">
        <v>1.6001000000000001</v>
      </c>
      <c r="U5" s="12">
        <v>3.2000000000000001E-2</v>
      </c>
      <c r="V5" s="12">
        <v>4.8000000000000001E-2</v>
      </c>
      <c r="W5" s="53">
        <f t="shared" si="3"/>
        <v>1.6800999999999999</v>
      </c>
    </row>
    <row r="6" spans="1:25" hidden="1">
      <c r="A6" s="16">
        <v>45535</v>
      </c>
      <c r="B6" s="17">
        <v>1.6001000000000001</v>
      </c>
      <c r="C6" s="17">
        <v>3.2000000000000001E-2</v>
      </c>
      <c r="D6" s="17">
        <v>4.8000000000000001E-2</v>
      </c>
      <c r="E6" s="18">
        <f t="shared" si="0"/>
        <v>1.6800999999999999</v>
      </c>
      <c r="F6" s="19"/>
      <c r="G6" s="20">
        <v>45535</v>
      </c>
      <c r="H6" s="17">
        <v>1.6001000000000001</v>
      </c>
      <c r="I6" s="17">
        <v>3.2000000000000001E-2</v>
      </c>
      <c r="J6" s="17">
        <v>4.8000000000000001E-2</v>
      </c>
      <c r="K6" s="18">
        <f t="shared" si="1"/>
        <v>1.6800999999999999</v>
      </c>
      <c r="L6" s="42"/>
      <c r="M6" s="20">
        <v>45535</v>
      </c>
      <c r="N6" s="17">
        <v>1.6001000000000001</v>
      </c>
      <c r="O6" s="17">
        <v>3.2000000000000001E-2</v>
      </c>
      <c r="P6" s="17">
        <v>4.8000000000000001E-2</v>
      </c>
      <c r="Q6" s="18">
        <f t="shared" si="2"/>
        <v>1.6800999999999999</v>
      </c>
      <c r="R6" s="42"/>
      <c r="S6" s="20">
        <v>45535</v>
      </c>
      <c r="T6" s="17">
        <v>1.6001000000000001</v>
      </c>
      <c r="U6" s="17">
        <v>3.2000000000000001E-2</v>
      </c>
      <c r="V6" s="17">
        <v>4.8000000000000001E-2</v>
      </c>
      <c r="W6" s="54">
        <f t="shared" si="3"/>
        <v>1.6800999999999999</v>
      </c>
    </row>
    <row r="7" spans="1:25">
      <c r="A7" s="15">
        <v>45565</v>
      </c>
      <c r="B7" s="12">
        <v>1.6001000000000001</v>
      </c>
      <c r="C7" s="12">
        <v>3.2000000000000001E-2</v>
      </c>
      <c r="D7" s="12">
        <v>4.8000000000000001E-2</v>
      </c>
      <c r="E7" s="13">
        <f t="shared" si="0"/>
        <v>1.6800999999999999</v>
      </c>
      <c r="F7" s="14"/>
      <c r="G7" s="15">
        <v>45565</v>
      </c>
      <c r="H7" s="12">
        <v>1.6001000000000001</v>
      </c>
      <c r="I7" s="12">
        <v>3.2000000000000001E-2</v>
      </c>
      <c r="J7" s="12">
        <v>4.8000000000000001E-2</v>
      </c>
      <c r="K7" s="13">
        <f t="shared" si="1"/>
        <v>1.6800999999999999</v>
      </c>
      <c r="M7" s="15">
        <v>45565</v>
      </c>
      <c r="N7" s="12">
        <v>1.6001000000000001</v>
      </c>
      <c r="O7" s="12">
        <v>3.2000000000000001E-2</v>
      </c>
      <c r="P7" s="12">
        <v>4.8000000000000001E-2</v>
      </c>
      <c r="Q7" s="13">
        <f t="shared" si="2"/>
        <v>1.6800999999999999</v>
      </c>
      <c r="S7" s="15">
        <v>45565</v>
      </c>
      <c r="T7" s="12">
        <v>1.6001000000000001</v>
      </c>
      <c r="U7" s="12">
        <v>3.2000000000000001E-2</v>
      </c>
      <c r="V7" s="12">
        <v>4.8000000000000001E-2</v>
      </c>
      <c r="W7" s="13">
        <f t="shared" si="3"/>
        <v>1.6800999999999999</v>
      </c>
    </row>
    <row r="8" spans="1:25">
      <c r="A8" s="15">
        <v>45596</v>
      </c>
      <c r="B8" s="12">
        <v>1.6485000000000001</v>
      </c>
      <c r="C8" s="12">
        <v>3.3000000000000002E-2</v>
      </c>
      <c r="D8" s="12">
        <v>4.9500000000000002E-2</v>
      </c>
      <c r="E8" s="13">
        <f t="shared" si="0"/>
        <v>1.7310000000000001</v>
      </c>
      <c r="F8" s="14"/>
      <c r="G8" s="15">
        <v>45596</v>
      </c>
      <c r="H8" s="12">
        <v>1.6485000000000001</v>
      </c>
      <c r="I8" s="12">
        <v>3.3000000000000002E-2</v>
      </c>
      <c r="J8" s="12">
        <v>4.9500000000000002E-2</v>
      </c>
      <c r="K8" s="13">
        <f t="shared" si="1"/>
        <v>1.7310000000000001</v>
      </c>
      <c r="M8" s="15">
        <v>45596</v>
      </c>
      <c r="N8" s="12">
        <v>1.6485000000000001</v>
      </c>
      <c r="O8" s="12">
        <v>3.3000000000000002E-2</v>
      </c>
      <c r="P8" s="12">
        <v>4.9500000000000002E-2</v>
      </c>
      <c r="Q8" s="13">
        <f t="shared" si="2"/>
        <v>1.7310000000000001</v>
      </c>
      <c r="S8" s="15">
        <v>45596</v>
      </c>
      <c r="T8" s="12">
        <v>1.6485000000000001</v>
      </c>
      <c r="U8" s="12">
        <v>3.3000000000000002E-2</v>
      </c>
      <c r="V8" s="12">
        <v>4.9500000000000002E-2</v>
      </c>
      <c r="W8" s="13">
        <f t="shared" si="3"/>
        <v>1.7310000000000001</v>
      </c>
    </row>
    <row r="9" spans="1:25">
      <c r="A9" s="15">
        <v>45626</v>
      </c>
      <c r="B9" s="12">
        <v>1.6485000000000001</v>
      </c>
      <c r="C9" s="12">
        <v>3.3000000000000002E-2</v>
      </c>
      <c r="D9" s="12">
        <v>4.9500000000000002E-2</v>
      </c>
      <c r="E9" s="13">
        <f t="shared" si="0"/>
        <v>1.7310000000000001</v>
      </c>
      <c r="F9" s="14"/>
      <c r="G9" s="15">
        <v>45626</v>
      </c>
      <c r="H9" s="12">
        <v>1.6485000000000001</v>
      </c>
      <c r="I9" s="12">
        <v>3.3000000000000002E-2</v>
      </c>
      <c r="J9" s="12">
        <v>4.9500000000000002E-2</v>
      </c>
      <c r="K9" s="13">
        <f t="shared" si="1"/>
        <v>1.7310000000000001</v>
      </c>
      <c r="M9" s="15">
        <v>45626</v>
      </c>
      <c r="N9" s="12">
        <v>1.6485000000000001</v>
      </c>
      <c r="O9" s="12">
        <v>3.3000000000000002E-2</v>
      </c>
      <c r="P9" s="12">
        <v>4.9500000000000002E-2</v>
      </c>
      <c r="Q9" s="13">
        <f t="shared" si="2"/>
        <v>1.7310000000000001</v>
      </c>
      <c r="S9" s="15">
        <v>45626</v>
      </c>
      <c r="T9" s="12">
        <v>1.6485000000000001</v>
      </c>
      <c r="U9" s="12">
        <v>3.3000000000000002E-2</v>
      </c>
      <c r="V9" s="12">
        <v>4.9500000000000002E-2</v>
      </c>
      <c r="W9" s="13">
        <f t="shared" si="3"/>
        <v>1.7310000000000001</v>
      </c>
    </row>
    <row r="10" spans="1:25">
      <c r="A10" s="15">
        <v>45657</v>
      </c>
      <c r="B10" s="12">
        <v>1.6485000000000001</v>
      </c>
      <c r="C10" s="12">
        <v>3.3000000000000002E-2</v>
      </c>
      <c r="D10" s="12">
        <v>4.9500000000000002E-2</v>
      </c>
      <c r="E10" s="13">
        <f t="shared" si="0"/>
        <v>1.7310000000000001</v>
      </c>
      <c r="F10" s="14"/>
      <c r="G10" s="15">
        <v>45657</v>
      </c>
      <c r="H10" s="12">
        <v>1.6485000000000001</v>
      </c>
      <c r="I10" s="12">
        <v>3.3000000000000002E-2</v>
      </c>
      <c r="J10" s="12">
        <v>4.9500000000000002E-2</v>
      </c>
      <c r="K10" s="13">
        <f t="shared" si="1"/>
        <v>1.7310000000000001</v>
      </c>
      <c r="M10" s="15">
        <v>45657</v>
      </c>
      <c r="N10" s="12">
        <v>1.6485000000000001</v>
      </c>
      <c r="O10" s="12">
        <v>3.3000000000000002E-2</v>
      </c>
      <c r="P10" s="12">
        <v>4.9500000000000002E-2</v>
      </c>
      <c r="Q10" s="13">
        <f t="shared" si="2"/>
        <v>1.7310000000000001</v>
      </c>
      <c r="S10" s="15">
        <v>45657</v>
      </c>
      <c r="T10" s="12">
        <v>1.6485000000000001</v>
      </c>
      <c r="U10" s="12">
        <v>3.3000000000000002E-2</v>
      </c>
      <c r="V10" s="12">
        <v>4.9500000000000002E-2</v>
      </c>
      <c r="W10" s="13">
        <f t="shared" si="3"/>
        <v>1.7310000000000001</v>
      </c>
    </row>
    <row r="11" spans="1:25">
      <c r="A11" s="15">
        <v>45688</v>
      </c>
      <c r="B11" s="12">
        <v>1.6485000000000001</v>
      </c>
      <c r="C11" s="12">
        <v>3.3000000000000002E-2</v>
      </c>
      <c r="D11" s="12">
        <v>4.9500000000000002E-2</v>
      </c>
      <c r="E11" s="13">
        <f t="shared" si="0"/>
        <v>1.7310000000000001</v>
      </c>
      <c r="F11" s="14"/>
      <c r="G11" s="15">
        <v>45688</v>
      </c>
      <c r="H11" s="12">
        <v>1.6485000000000001</v>
      </c>
      <c r="I11" s="12">
        <v>3.3000000000000002E-2</v>
      </c>
      <c r="J11" s="12">
        <v>4.9500000000000002E-2</v>
      </c>
      <c r="K11" s="13">
        <f t="shared" si="1"/>
        <v>1.7310000000000001</v>
      </c>
      <c r="M11" s="15">
        <v>45688</v>
      </c>
      <c r="N11" s="12">
        <v>1.6485000000000001</v>
      </c>
      <c r="O11" s="12">
        <v>3.3000000000000002E-2</v>
      </c>
      <c r="P11" s="12">
        <v>4.9500000000000002E-2</v>
      </c>
      <c r="Q11" s="13">
        <f t="shared" si="2"/>
        <v>1.7310000000000001</v>
      </c>
      <c r="S11" s="15">
        <v>45688</v>
      </c>
      <c r="T11" s="12">
        <v>1.6485000000000001</v>
      </c>
      <c r="U11" s="12">
        <v>3.3000000000000002E-2</v>
      </c>
      <c r="V11" s="12">
        <v>4.9500000000000002E-2</v>
      </c>
      <c r="W11" s="13">
        <f t="shared" si="3"/>
        <v>1.7310000000000001</v>
      </c>
    </row>
    <row r="12" spans="1:25">
      <c r="A12" s="15">
        <v>45716</v>
      </c>
      <c r="B12" s="12">
        <v>1.6485000000000001</v>
      </c>
      <c r="C12" s="12">
        <v>3.3000000000000002E-2</v>
      </c>
      <c r="D12" s="12">
        <v>4.9500000000000002E-2</v>
      </c>
      <c r="E12" s="13">
        <f t="shared" si="0"/>
        <v>1.7310000000000001</v>
      </c>
      <c r="F12" s="14"/>
      <c r="G12" s="15">
        <v>45716</v>
      </c>
      <c r="H12" s="12">
        <v>1.6485000000000001</v>
      </c>
      <c r="I12" s="12">
        <v>3.3000000000000002E-2</v>
      </c>
      <c r="J12" s="12">
        <v>4.9500000000000002E-2</v>
      </c>
      <c r="K12" s="13">
        <f t="shared" si="1"/>
        <v>1.7310000000000001</v>
      </c>
      <c r="M12" s="15">
        <v>45716</v>
      </c>
      <c r="N12" s="12">
        <v>1.6485000000000001</v>
      </c>
      <c r="O12" s="12">
        <v>3.3000000000000002E-2</v>
      </c>
      <c r="P12" s="12">
        <v>4.9500000000000002E-2</v>
      </c>
      <c r="Q12" s="13">
        <f t="shared" si="2"/>
        <v>1.7310000000000001</v>
      </c>
      <c r="S12" s="15">
        <v>45716</v>
      </c>
      <c r="T12" s="12">
        <v>1.6485000000000001</v>
      </c>
      <c r="U12" s="12">
        <v>3.3000000000000002E-2</v>
      </c>
      <c r="V12" s="12">
        <v>4.9500000000000002E-2</v>
      </c>
      <c r="W12" s="13">
        <f t="shared" si="3"/>
        <v>1.7310000000000001</v>
      </c>
    </row>
    <row r="13" spans="1:25" ht="22" customHeight="1">
      <c r="A13" s="15">
        <v>45747</v>
      </c>
      <c r="B13" s="12">
        <v>1.6485000000000001</v>
      </c>
      <c r="C13" s="12">
        <v>3.3000000000000002E-2</v>
      </c>
      <c r="D13" s="12">
        <v>4.9500000000000002E-2</v>
      </c>
      <c r="E13" s="13">
        <f t="shared" si="0"/>
        <v>1.7310000000000001</v>
      </c>
      <c r="F13" s="14"/>
      <c r="G13" s="15">
        <v>45747</v>
      </c>
      <c r="H13" s="12">
        <v>1.6485000000000001</v>
      </c>
      <c r="I13" s="12">
        <v>3.3000000000000002E-2</v>
      </c>
      <c r="J13" s="12">
        <v>4.9500000000000002E-2</v>
      </c>
      <c r="K13" s="13">
        <f t="shared" si="1"/>
        <v>1.7310000000000001</v>
      </c>
      <c r="M13" s="15">
        <v>45747</v>
      </c>
      <c r="N13" s="12">
        <v>1.6485000000000001</v>
      </c>
      <c r="O13" s="12">
        <v>3.3000000000000002E-2</v>
      </c>
      <c r="P13" s="12">
        <v>4.9500000000000002E-2</v>
      </c>
      <c r="Q13" s="13">
        <f t="shared" si="2"/>
        <v>1.7310000000000001</v>
      </c>
      <c r="S13" s="15">
        <v>45747</v>
      </c>
      <c r="T13" s="55">
        <v>1.6485000000000001</v>
      </c>
      <c r="U13" s="55">
        <v>3.3000000000000002E-2</v>
      </c>
      <c r="V13" s="55">
        <v>4.9500000000000002E-2</v>
      </c>
      <c r="W13" s="13">
        <f t="shared" si="3"/>
        <v>1.7310000000000001</v>
      </c>
      <c r="X13" s="409" t="s">
        <v>254</v>
      </c>
      <c r="Y13" s="410"/>
    </row>
    <row r="14" spans="1:25" ht="31" customHeight="1">
      <c r="A14" s="15">
        <v>45777</v>
      </c>
      <c r="B14" s="12">
        <v>1.6485000000000001</v>
      </c>
      <c r="C14" s="12">
        <v>3.3000000000000002E-2</v>
      </c>
      <c r="D14" s="12">
        <v>4.9500000000000002E-2</v>
      </c>
      <c r="E14" s="13">
        <f t="shared" si="0"/>
        <v>1.7310000000000001</v>
      </c>
      <c r="F14" s="14"/>
      <c r="G14" s="15">
        <v>45777</v>
      </c>
      <c r="H14" s="12">
        <v>1.6485000000000001</v>
      </c>
      <c r="I14" s="12">
        <v>3.3000000000000002E-2</v>
      </c>
      <c r="J14" s="12">
        <v>4.9500000000000002E-2</v>
      </c>
      <c r="K14" s="13">
        <f t="shared" si="1"/>
        <v>1.7310000000000001</v>
      </c>
      <c r="M14" s="15">
        <v>45777</v>
      </c>
      <c r="N14" s="12">
        <v>1.6485000000000001</v>
      </c>
      <c r="O14" s="12">
        <v>3.3000000000000002E-2</v>
      </c>
      <c r="P14" s="12">
        <v>4.9500000000000002E-2</v>
      </c>
      <c r="Q14" s="13">
        <f t="shared" si="2"/>
        <v>1.7310000000000001</v>
      </c>
      <c r="S14" s="15">
        <v>45777</v>
      </c>
      <c r="T14" s="55">
        <v>1.6485000000000001</v>
      </c>
      <c r="U14" s="55">
        <v>3.3000000000000002E-2</v>
      </c>
      <c r="V14" s="55">
        <v>4.9500000000000002E-2</v>
      </c>
      <c r="W14" s="13">
        <f t="shared" si="3"/>
        <v>1.7310000000000001</v>
      </c>
      <c r="X14" s="409"/>
      <c r="Y14" s="410"/>
    </row>
    <row r="15" spans="1:25">
      <c r="A15" s="15">
        <v>45807</v>
      </c>
      <c r="B15" s="12">
        <v>1.8915999999999999</v>
      </c>
      <c r="C15" s="12">
        <v>3.78E-2</v>
      </c>
      <c r="D15" s="12">
        <v>5.67E-2</v>
      </c>
      <c r="E15" s="13">
        <f t="shared" si="0"/>
        <v>1.9861</v>
      </c>
      <c r="F15" s="21"/>
      <c r="G15" s="15">
        <v>45807</v>
      </c>
      <c r="H15" s="12">
        <v>1.8915999999999999</v>
      </c>
      <c r="I15" s="12">
        <v>3.78E-2</v>
      </c>
      <c r="J15" s="12">
        <v>5.67E-2</v>
      </c>
      <c r="K15" s="13">
        <f t="shared" si="1"/>
        <v>1.9861</v>
      </c>
      <c r="M15" s="15">
        <v>45807</v>
      </c>
      <c r="N15" s="12">
        <v>1.8915999999999999</v>
      </c>
      <c r="O15" s="12">
        <v>3.78E-2</v>
      </c>
      <c r="P15" s="12">
        <v>5.67E-2</v>
      </c>
      <c r="Q15" s="13">
        <f t="shared" si="2"/>
        <v>1.9861</v>
      </c>
      <c r="S15" s="15">
        <v>45807</v>
      </c>
      <c r="T15" s="12">
        <v>1.8915999999999999</v>
      </c>
      <c r="U15" s="12">
        <v>3.78E-2</v>
      </c>
      <c r="V15" s="12">
        <v>5.67E-2</v>
      </c>
      <c r="W15" s="13">
        <f t="shared" si="3"/>
        <v>1.9861</v>
      </c>
    </row>
    <row r="16" spans="1:25">
      <c r="A16" s="15">
        <v>45838</v>
      </c>
      <c r="B16" s="12">
        <v>1.8915999999999999</v>
      </c>
      <c r="C16" s="12">
        <v>3.78E-2</v>
      </c>
      <c r="D16" s="12">
        <v>5.67E-2</v>
      </c>
      <c r="E16" s="13">
        <f t="shared" si="0"/>
        <v>1.9861</v>
      </c>
      <c r="F16" s="21"/>
      <c r="G16" s="15">
        <v>45838</v>
      </c>
      <c r="H16" s="12">
        <v>1.8915999999999999</v>
      </c>
      <c r="I16" s="12">
        <v>3.78E-2</v>
      </c>
      <c r="J16" s="12">
        <v>5.67E-2</v>
      </c>
      <c r="K16" s="13">
        <f t="shared" si="1"/>
        <v>1.9861</v>
      </c>
      <c r="M16" s="15">
        <v>45838</v>
      </c>
      <c r="N16" s="12">
        <v>1.8915999999999999</v>
      </c>
      <c r="O16" s="12">
        <v>3.78E-2</v>
      </c>
      <c r="P16" s="12">
        <v>5.67E-2</v>
      </c>
      <c r="Q16" s="13">
        <f t="shared" si="2"/>
        <v>1.9861</v>
      </c>
      <c r="S16" s="15">
        <v>45838</v>
      </c>
      <c r="T16" s="12">
        <v>1.8915999999999999</v>
      </c>
      <c r="U16" s="12">
        <v>3.78E-2</v>
      </c>
      <c r="V16" s="12">
        <v>5.67E-2</v>
      </c>
      <c r="W16" s="13">
        <f t="shared" si="3"/>
        <v>1.9861</v>
      </c>
    </row>
    <row r="17" spans="1:23">
      <c r="A17" s="15">
        <v>45868</v>
      </c>
      <c r="B17" s="12">
        <v>1.9379999999999999</v>
      </c>
      <c r="C17" s="12">
        <v>3.8800000000000001E-2</v>
      </c>
      <c r="D17" s="12">
        <v>5.8099999999999999E-2</v>
      </c>
      <c r="E17" s="13">
        <f t="shared" si="0"/>
        <v>2.0348999999999999</v>
      </c>
      <c r="F17" s="21"/>
      <c r="G17" s="15">
        <v>45868</v>
      </c>
      <c r="H17" s="12">
        <v>1.9379999999999999</v>
      </c>
      <c r="I17" s="12">
        <v>3.8800000000000001E-2</v>
      </c>
      <c r="J17" s="12">
        <v>5.8099999999999999E-2</v>
      </c>
      <c r="K17" s="13">
        <f t="shared" si="1"/>
        <v>2.0348999999999999</v>
      </c>
      <c r="M17" s="15">
        <v>45868</v>
      </c>
      <c r="N17" s="12">
        <v>1.9379999999999999</v>
      </c>
      <c r="O17" s="12">
        <v>3.8800000000000001E-2</v>
      </c>
      <c r="P17" s="12">
        <v>5.8099999999999999E-2</v>
      </c>
      <c r="Q17" s="13">
        <f t="shared" si="2"/>
        <v>2.0348999999999999</v>
      </c>
      <c r="S17" s="15">
        <v>45868</v>
      </c>
      <c r="T17" s="12">
        <v>1.9379999999999999</v>
      </c>
      <c r="U17" s="12">
        <v>3.8800000000000001E-2</v>
      </c>
      <c r="V17" s="12">
        <v>5.8099999999999999E-2</v>
      </c>
      <c r="W17" s="13">
        <f t="shared" si="3"/>
        <v>2.0348999999999999</v>
      </c>
    </row>
    <row r="18" spans="1:23">
      <c r="A18" s="22">
        <v>45899</v>
      </c>
      <c r="B18" s="23">
        <v>1.9379999999999999</v>
      </c>
      <c r="C18" s="23">
        <v>3.8800000000000001E-2</v>
      </c>
      <c r="D18" s="23">
        <v>5.8099999999999999E-2</v>
      </c>
      <c r="E18" s="24">
        <f t="shared" si="0"/>
        <v>2.0348999999999999</v>
      </c>
      <c r="F18" s="21"/>
      <c r="G18" s="22">
        <v>45899</v>
      </c>
      <c r="H18" s="23">
        <v>1.9379999999999999</v>
      </c>
      <c r="I18" s="23">
        <v>3.8800000000000001E-2</v>
      </c>
      <c r="J18" s="23">
        <v>5.8099999999999999E-2</v>
      </c>
      <c r="K18" s="24">
        <f t="shared" si="1"/>
        <v>2.0348999999999999</v>
      </c>
      <c r="M18" s="22">
        <v>45899</v>
      </c>
      <c r="N18" s="23">
        <v>1.9379999999999999</v>
      </c>
      <c r="O18" s="23">
        <v>3.8800000000000001E-2</v>
      </c>
      <c r="P18" s="23">
        <v>5.8099999999999999E-2</v>
      </c>
      <c r="Q18" s="24">
        <f t="shared" si="2"/>
        <v>2.0348999999999999</v>
      </c>
      <c r="S18" s="22">
        <v>45899</v>
      </c>
      <c r="T18" s="23">
        <v>1.9379999999999999</v>
      </c>
      <c r="U18" s="23">
        <v>3.8800000000000001E-2</v>
      </c>
      <c r="V18" s="23">
        <v>5.8099999999999999E-2</v>
      </c>
      <c r="W18" s="24">
        <f t="shared" si="3"/>
        <v>2.0348999999999999</v>
      </c>
    </row>
    <row r="19" spans="1:23">
      <c r="A19" s="25"/>
      <c r="B19" s="26"/>
      <c r="C19" s="26"/>
      <c r="D19" s="26"/>
      <c r="E19" s="27"/>
      <c r="I19" s="43"/>
      <c r="J19" s="43"/>
    </row>
    <row r="20" spans="1:23">
      <c r="A20" s="25"/>
      <c r="B20" s="26" t="s">
        <v>235</v>
      </c>
      <c r="C20" s="26"/>
      <c r="D20" s="26"/>
      <c r="E20" s="28">
        <f>AVERAGE(E7:E18)</f>
        <v>1.819925</v>
      </c>
      <c r="H20" s="26" t="s">
        <v>235</v>
      </c>
      <c r="K20" s="28">
        <f>AVERAGE(K7:K18)</f>
        <v>1.819925</v>
      </c>
      <c r="N20" s="26" t="s">
        <v>235</v>
      </c>
      <c r="Q20" s="28">
        <f>AVERAGE(Q4:Q18)</f>
        <v>1.7867200000000001</v>
      </c>
      <c r="T20" s="26" t="s">
        <v>235</v>
      </c>
      <c r="W20" s="28">
        <f>AVERAGE(W7:W18)</f>
        <v>1.819925</v>
      </c>
    </row>
    <row r="22" spans="1:23" ht="14.5">
      <c r="A22" s="29"/>
      <c r="B22" s="30" t="s">
        <v>130</v>
      </c>
      <c r="C22" s="29" t="s">
        <v>131</v>
      </c>
      <c r="D22" s="29">
        <v>11.4549483</v>
      </c>
      <c r="E22" s="31">
        <v>45900</v>
      </c>
      <c r="F22" s="29" t="s">
        <v>255</v>
      </c>
      <c r="G22" s="29"/>
      <c r="H22" s="29"/>
      <c r="N22" s="44" t="s">
        <v>124</v>
      </c>
      <c r="O22" s="44"/>
      <c r="P22" s="44"/>
      <c r="Q22" s="39">
        <v>45901</v>
      </c>
    </row>
    <row r="23" spans="1:23">
      <c r="A23" s="29"/>
      <c r="B23" s="32">
        <f>O26</f>
        <v>7.9000000000000001E-2</v>
      </c>
      <c r="C23" s="29" t="s">
        <v>133</v>
      </c>
      <c r="D23" s="33">
        <f>B23*D22</f>
        <v>0.90494091570000001</v>
      </c>
      <c r="E23" s="29" t="s">
        <v>181</v>
      </c>
      <c r="F23" s="29"/>
      <c r="G23" s="29"/>
      <c r="H23" s="29"/>
    </row>
    <row r="24" spans="1:23">
      <c r="A24" s="29"/>
      <c r="B24" s="32">
        <f>P26</f>
        <v>0.21</v>
      </c>
      <c r="C24" s="29" t="s">
        <v>135</v>
      </c>
      <c r="D24" s="368">
        <f>B24*D22</f>
        <v>2.4055391429999999</v>
      </c>
      <c r="E24" s="29" t="s">
        <v>181</v>
      </c>
      <c r="F24" s="29"/>
      <c r="G24" s="29"/>
      <c r="H24" s="29"/>
      <c r="N24" s="45" t="s">
        <v>125</v>
      </c>
      <c r="O24" s="45" t="s">
        <v>126</v>
      </c>
      <c r="P24" s="45" t="s">
        <v>127</v>
      </c>
      <c r="Q24" s="45" t="s">
        <v>128</v>
      </c>
      <c r="R24" s="45" t="s">
        <v>129</v>
      </c>
    </row>
    <row r="25" spans="1:23">
      <c r="A25" s="29"/>
      <c r="B25" s="29"/>
      <c r="C25" s="29" t="s">
        <v>137</v>
      </c>
      <c r="D25" s="34">
        <v>0.22</v>
      </c>
      <c r="E25" s="29"/>
      <c r="F25" s="29"/>
      <c r="G25" s="29"/>
      <c r="H25" s="29"/>
      <c r="I25" s="46"/>
      <c r="N25" s="47">
        <v>0</v>
      </c>
      <c r="Q25" s="56">
        <v>45901</v>
      </c>
      <c r="R25" s="57"/>
    </row>
    <row r="26" spans="1:23">
      <c r="A26" s="29"/>
      <c r="B26" s="35">
        <f>D26/D22</f>
        <v>0.12392386790606499</v>
      </c>
      <c r="C26" s="29" t="s">
        <v>208</v>
      </c>
      <c r="D26" s="36">
        <f>E20*(1-D25)</f>
        <v>1.4195415</v>
      </c>
      <c r="E26" s="29" t="s">
        <v>181</v>
      </c>
      <c r="F26" s="29"/>
      <c r="G26" s="29"/>
      <c r="H26" s="29"/>
      <c r="N26" s="48">
        <v>1</v>
      </c>
      <c r="O26" s="49">
        <v>7.9000000000000001E-2</v>
      </c>
      <c r="P26" s="49">
        <v>0.21</v>
      </c>
      <c r="Q26" s="58">
        <v>46265</v>
      </c>
      <c r="R26" s="59">
        <v>0</v>
      </c>
    </row>
    <row r="27" spans="1:23">
      <c r="D27" s="37"/>
      <c r="N27" s="47">
        <v>2</v>
      </c>
      <c r="O27" s="50">
        <f t="shared" ref="O27:O43" si="4">O26*(1+R27)</f>
        <v>8.0975000000000005E-2</v>
      </c>
      <c r="P27" s="50">
        <f t="shared" ref="P27:P43" si="5">P26</f>
        <v>0.21</v>
      </c>
      <c r="Q27" s="25">
        <f t="shared" ref="Q27:Q42" si="6">EDATE(Q26,12)</f>
        <v>46630</v>
      </c>
      <c r="R27" s="60">
        <v>2.5000000000000001E-2</v>
      </c>
    </row>
    <row r="28" spans="1:23" ht="14.5">
      <c r="A28" s="29"/>
      <c r="B28" s="38" t="s">
        <v>124</v>
      </c>
      <c r="C28" s="39">
        <v>45901</v>
      </c>
      <c r="N28" s="47">
        <v>3</v>
      </c>
      <c r="O28" s="50">
        <f t="shared" si="4"/>
        <v>8.2999375E-2</v>
      </c>
      <c r="P28" s="50">
        <f t="shared" si="5"/>
        <v>0.21</v>
      </c>
      <c r="Q28" s="25">
        <f t="shared" si="6"/>
        <v>46996</v>
      </c>
      <c r="R28" s="60">
        <f t="shared" ref="R28:R43" si="7">R27</f>
        <v>2.5000000000000001E-2</v>
      </c>
    </row>
    <row r="29" spans="1:23">
      <c r="N29" s="47">
        <v>4</v>
      </c>
      <c r="O29" s="50">
        <f t="shared" si="4"/>
        <v>8.5074359375000005E-2</v>
      </c>
      <c r="P29" s="50">
        <f t="shared" si="5"/>
        <v>0.21</v>
      </c>
      <c r="Q29" s="25">
        <f t="shared" si="6"/>
        <v>47361</v>
      </c>
      <c r="R29" s="60">
        <f t="shared" si="7"/>
        <v>2.5000000000000001E-2</v>
      </c>
    </row>
    <row r="30" spans="1:23">
      <c r="N30" s="47">
        <v>5</v>
      </c>
      <c r="O30" s="50">
        <f t="shared" si="4"/>
        <v>8.7201218359374999E-2</v>
      </c>
      <c r="P30" s="50">
        <f t="shared" si="5"/>
        <v>0.21</v>
      </c>
      <c r="Q30" s="25">
        <f t="shared" si="6"/>
        <v>47726</v>
      </c>
      <c r="R30" s="60">
        <f t="shared" si="7"/>
        <v>2.5000000000000001E-2</v>
      </c>
    </row>
    <row r="31" spans="1:23">
      <c r="A31" s="40" t="s">
        <v>139</v>
      </c>
      <c r="B31" s="40"/>
      <c r="C31" s="40"/>
      <c r="D31" s="40"/>
      <c r="E31" s="40"/>
      <c r="F31" s="40"/>
      <c r="G31" s="40"/>
      <c r="H31" s="40"/>
      <c r="I31" s="40"/>
      <c r="J31" s="40"/>
      <c r="N31" s="47">
        <v>6</v>
      </c>
      <c r="O31" s="50">
        <f t="shared" si="4"/>
        <v>8.9381248818359293E-2</v>
      </c>
      <c r="P31" s="50">
        <f t="shared" si="5"/>
        <v>0.21</v>
      </c>
      <c r="Q31" s="25">
        <f t="shared" si="6"/>
        <v>48091</v>
      </c>
      <c r="R31" s="60">
        <f t="shared" si="7"/>
        <v>2.5000000000000001E-2</v>
      </c>
    </row>
    <row r="32" spans="1:23">
      <c r="N32" s="47">
        <v>7</v>
      </c>
      <c r="O32" s="50">
        <f t="shared" si="4"/>
        <v>9.1615780038818304E-2</v>
      </c>
      <c r="P32" s="50">
        <f t="shared" si="5"/>
        <v>0.21</v>
      </c>
      <c r="Q32" s="25">
        <f t="shared" si="6"/>
        <v>48457</v>
      </c>
      <c r="R32" s="60">
        <f t="shared" si="7"/>
        <v>2.5000000000000001E-2</v>
      </c>
    </row>
    <row r="33" spans="10:18">
      <c r="N33" s="47">
        <v>8</v>
      </c>
      <c r="O33" s="50">
        <f t="shared" si="4"/>
        <v>9.3906174539788806E-2</v>
      </c>
      <c r="P33" s="50">
        <f t="shared" si="5"/>
        <v>0.21</v>
      </c>
      <c r="Q33" s="25">
        <f t="shared" si="6"/>
        <v>48822</v>
      </c>
      <c r="R33" s="60">
        <f t="shared" si="7"/>
        <v>2.5000000000000001E-2</v>
      </c>
    </row>
    <row r="34" spans="10:18">
      <c r="N34" s="47">
        <v>9</v>
      </c>
      <c r="O34" s="50">
        <f t="shared" si="4"/>
        <v>9.6253828903283503E-2</v>
      </c>
      <c r="P34" s="50">
        <f t="shared" si="5"/>
        <v>0.21</v>
      </c>
      <c r="Q34" s="25">
        <f t="shared" si="6"/>
        <v>49187</v>
      </c>
      <c r="R34" s="60">
        <f t="shared" si="7"/>
        <v>2.5000000000000001E-2</v>
      </c>
    </row>
    <row r="35" spans="10:18">
      <c r="N35" s="47">
        <v>10</v>
      </c>
      <c r="O35" s="50">
        <f t="shared" si="4"/>
        <v>9.8660174625865599E-2</v>
      </c>
      <c r="P35" s="50">
        <f t="shared" si="5"/>
        <v>0.21</v>
      </c>
      <c r="Q35" s="25">
        <f t="shared" si="6"/>
        <v>49552</v>
      </c>
      <c r="R35" s="60">
        <f t="shared" si="7"/>
        <v>2.5000000000000001E-2</v>
      </c>
    </row>
    <row r="36" spans="10:18">
      <c r="N36" s="47">
        <v>11</v>
      </c>
      <c r="O36" s="50">
        <f t="shared" si="4"/>
        <v>0.101126678991512</v>
      </c>
      <c r="P36" s="50">
        <f t="shared" si="5"/>
        <v>0.21</v>
      </c>
      <c r="Q36" s="25">
        <f t="shared" si="6"/>
        <v>49918</v>
      </c>
      <c r="R36" s="60">
        <f t="shared" si="7"/>
        <v>2.5000000000000001E-2</v>
      </c>
    </row>
    <row r="37" spans="10:18">
      <c r="N37" s="47">
        <v>12</v>
      </c>
      <c r="O37" s="50">
        <f t="shared" si="4"/>
        <v>0.10365484596629999</v>
      </c>
      <c r="P37" s="50">
        <f t="shared" si="5"/>
        <v>0.21</v>
      </c>
      <c r="Q37" s="25">
        <f t="shared" si="6"/>
        <v>50283</v>
      </c>
      <c r="R37" s="60">
        <f t="shared" si="7"/>
        <v>2.5000000000000001E-2</v>
      </c>
    </row>
    <row r="38" spans="10:18">
      <c r="N38" s="47">
        <v>13</v>
      </c>
      <c r="O38" s="50">
        <f t="shared" si="4"/>
        <v>0.106246217115457</v>
      </c>
      <c r="P38" s="50">
        <f t="shared" si="5"/>
        <v>0.21</v>
      </c>
      <c r="Q38" s="25">
        <f t="shared" si="6"/>
        <v>50648</v>
      </c>
      <c r="R38" s="60">
        <f t="shared" si="7"/>
        <v>2.5000000000000001E-2</v>
      </c>
    </row>
    <row r="39" spans="10:18">
      <c r="N39" s="47">
        <v>14</v>
      </c>
      <c r="O39" s="50">
        <f t="shared" si="4"/>
        <v>0.10890237254334401</v>
      </c>
      <c r="P39" s="50">
        <f t="shared" si="5"/>
        <v>0.21</v>
      </c>
      <c r="Q39" s="25">
        <f t="shared" si="6"/>
        <v>51013</v>
      </c>
      <c r="R39" s="60">
        <f t="shared" si="7"/>
        <v>2.5000000000000001E-2</v>
      </c>
    </row>
    <row r="40" spans="10:18">
      <c r="N40" s="47">
        <v>15</v>
      </c>
      <c r="O40" s="50">
        <f t="shared" si="4"/>
        <v>0.111624931856927</v>
      </c>
      <c r="P40" s="50">
        <f t="shared" si="5"/>
        <v>0.21</v>
      </c>
      <c r="Q40" s="25">
        <f t="shared" si="6"/>
        <v>51379</v>
      </c>
      <c r="R40" s="60">
        <f t="shared" si="7"/>
        <v>2.5000000000000001E-2</v>
      </c>
    </row>
    <row r="41" spans="10:18">
      <c r="N41" s="47">
        <v>16</v>
      </c>
      <c r="O41" s="50">
        <f t="shared" si="4"/>
        <v>0.114415555153351</v>
      </c>
      <c r="P41" s="50">
        <f t="shared" si="5"/>
        <v>0.21</v>
      </c>
      <c r="Q41" s="25">
        <f t="shared" si="6"/>
        <v>51744</v>
      </c>
      <c r="R41" s="60">
        <f t="shared" si="7"/>
        <v>2.5000000000000001E-2</v>
      </c>
    </row>
    <row r="42" spans="10:18">
      <c r="N42" s="47">
        <v>17</v>
      </c>
      <c r="O42" s="50">
        <f t="shared" si="4"/>
        <v>0.117275944032184</v>
      </c>
      <c r="P42" s="50">
        <f t="shared" si="5"/>
        <v>0.21</v>
      </c>
      <c r="Q42" s="25">
        <f t="shared" si="6"/>
        <v>52109</v>
      </c>
      <c r="R42" s="60">
        <f t="shared" si="7"/>
        <v>2.5000000000000001E-2</v>
      </c>
    </row>
    <row r="43" spans="10:18">
      <c r="N43" s="47">
        <v>18</v>
      </c>
      <c r="O43" s="50">
        <f t="shared" si="4"/>
        <v>0.120207842632989</v>
      </c>
      <c r="P43" s="50">
        <f t="shared" si="5"/>
        <v>0.21</v>
      </c>
      <c r="Q43" s="25">
        <f>EDATE(Q42,10)</f>
        <v>52412</v>
      </c>
      <c r="R43" s="60">
        <f t="shared" si="7"/>
        <v>2.5000000000000001E-2</v>
      </c>
    </row>
    <row r="47" spans="10:18">
      <c r="J47" s="51"/>
    </row>
  </sheetData>
  <mergeCells count="5">
    <mergeCell ref="A1:E1"/>
    <mergeCell ref="G1:K1"/>
    <mergeCell ref="M1:Q1"/>
    <mergeCell ref="S1:W1"/>
    <mergeCell ref="X13:Y14"/>
  </mergeCells>
  <pageMargins left="0.7" right="0.7" top="0.75" bottom="0.75" header="0.3" footer="0.3"/>
  <pageSetup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92D050"/>
  </sheetPr>
  <dimension ref="B1:Y122"/>
  <sheetViews>
    <sheetView showGridLines="0" topLeftCell="A10" zoomScale="85" zoomScaleNormal="85" workbookViewId="0">
      <pane ySplit="1" topLeftCell="A11" activePane="bottomLeft" state="frozen"/>
      <selection pane="bottomLeft" activeCell="L56" sqref="L56"/>
    </sheetView>
  </sheetViews>
  <sheetFormatPr defaultColWidth="9" defaultRowHeight="14"/>
  <cols>
    <col min="2" max="2" width="10.81640625" customWidth="1"/>
    <col min="3" max="3" width="27.81640625" customWidth="1"/>
    <col min="4" max="4" width="20" customWidth="1"/>
    <col min="6" max="6" width="13.81640625" customWidth="1"/>
    <col min="8" max="9" width="10.54296875" bestFit="1" customWidth="1"/>
    <col min="10" max="10" width="10.36328125" customWidth="1"/>
    <col min="11" max="11" width="17.81640625" customWidth="1"/>
    <col min="12" max="12" width="18.453125" customWidth="1"/>
    <col min="13" max="13" width="12.7265625" customWidth="1"/>
    <col min="18" max="18" width="9.81640625" customWidth="1"/>
    <col min="19" max="19" width="19.81640625" customWidth="1"/>
    <col min="20" max="20" width="12.453125" customWidth="1"/>
    <col min="21" max="21" width="9.26953125" customWidth="1"/>
    <col min="24" max="24" width="15.26953125" customWidth="1"/>
  </cols>
  <sheetData>
    <row r="1" spans="2:12">
      <c r="B1" t="s">
        <v>94</v>
      </c>
      <c r="C1" t="s">
        <v>95</v>
      </c>
      <c r="D1" t="s">
        <v>96</v>
      </c>
      <c r="E1" t="s">
        <v>97</v>
      </c>
      <c r="F1" s="284">
        <v>0.448043981481482</v>
      </c>
    </row>
    <row r="2" spans="2:12">
      <c r="B2" t="s">
        <v>98</v>
      </c>
      <c r="C2" t="s">
        <v>98</v>
      </c>
      <c r="D2" t="s">
        <v>98</v>
      </c>
    </row>
    <row r="3" spans="2:12">
      <c r="B3" t="s">
        <v>94</v>
      </c>
      <c r="C3" t="s">
        <v>95</v>
      </c>
    </row>
    <row r="6" spans="2:12">
      <c r="B6" t="s">
        <v>99</v>
      </c>
      <c r="C6" t="s">
        <v>100</v>
      </c>
      <c r="D6" t="s">
        <v>101</v>
      </c>
    </row>
    <row r="7" spans="2:12">
      <c r="B7" t="s">
        <v>102</v>
      </c>
      <c r="C7" t="s">
        <v>103</v>
      </c>
      <c r="D7">
        <v>1000</v>
      </c>
    </row>
    <row r="10" spans="2:12">
      <c r="B10" s="40" t="s">
        <v>104</v>
      </c>
      <c r="C10" s="40" t="s">
        <v>105</v>
      </c>
      <c r="D10" s="40" t="s">
        <v>106</v>
      </c>
      <c r="E10" s="40" t="s">
        <v>107</v>
      </c>
      <c r="F10" s="40" t="s">
        <v>108</v>
      </c>
      <c r="G10" s="40" t="s">
        <v>109</v>
      </c>
      <c r="H10" s="40" t="s">
        <v>110</v>
      </c>
      <c r="I10" s="40" t="s">
        <v>111</v>
      </c>
      <c r="J10" s="40" t="s">
        <v>112</v>
      </c>
      <c r="K10" t="s">
        <v>113</v>
      </c>
      <c r="L10" t="s">
        <v>114</v>
      </c>
    </row>
    <row r="11" spans="2:12">
      <c r="B11" s="137">
        <v>43646</v>
      </c>
      <c r="C11" s="74">
        <v>10.9</v>
      </c>
      <c r="D11" s="74">
        <v>0.03</v>
      </c>
      <c r="E11" s="74">
        <v>3.7</v>
      </c>
      <c r="F11" s="74">
        <v>-7.0000000000000007E-2</v>
      </c>
      <c r="G11" s="74">
        <v>0.25</v>
      </c>
      <c r="H11" s="74">
        <v>0.54</v>
      </c>
      <c r="I11" s="74">
        <v>0.01</v>
      </c>
      <c r="J11" s="297">
        <f>SUM(C11:I11)</f>
        <v>15.36</v>
      </c>
      <c r="K11" s="43">
        <v>0</v>
      </c>
      <c r="L11" s="43">
        <v>0</v>
      </c>
    </row>
    <row r="12" spans="2:12">
      <c r="B12" s="139">
        <v>43677</v>
      </c>
      <c r="C12" s="77">
        <v>10.9</v>
      </c>
      <c r="D12" s="77">
        <v>0.03</v>
      </c>
      <c r="E12" s="77">
        <v>3.67</v>
      </c>
      <c r="F12" s="77">
        <v>0.05</v>
      </c>
      <c r="G12" s="77">
        <v>0.25</v>
      </c>
      <c r="H12" s="77">
        <v>0.54</v>
      </c>
      <c r="I12" s="77">
        <v>0.02</v>
      </c>
      <c r="J12" s="298">
        <f t="shared" ref="J12:J46" si="0">SUM(C12:I12)</f>
        <v>15.46</v>
      </c>
      <c r="K12" s="43">
        <v>0</v>
      </c>
      <c r="L12" s="43">
        <v>0</v>
      </c>
    </row>
    <row r="13" spans="2:12">
      <c r="B13" s="139">
        <v>43708</v>
      </c>
      <c r="C13" s="77">
        <v>10.9</v>
      </c>
      <c r="D13" s="77">
        <v>0.03</v>
      </c>
      <c r="E13" s="77">
        <v>3.6</v>
      </c>
      <c r="F13" s="77">
        <v>0.22</v>
      </c>
      <c r="G13" s="77">
        <v>0.25</v>
      </c>
      <c r="H13" s="77">
        <v>0.54</v>
      </c>
      <c r="I13" s="77">
        <v>0.02</v>
      </c>
      <c r="J13" s="298">
        <f t="shared" si="0"/>
        <v>15.56</v>
      </c>
      <c r="K13" s="43">
        <v>0</v>
      </c>
      <c r="L13" s="43">
        <v>0</v>
      </c>
    </row>
    <row r="14" spans="2:12">
      <c r="B14" s="139">
        <v>43738</v>
      </c>
      <c r="C14" s="77">
        <v>10.9</v>
      </c>
      <c r="D14" s="77">
        <v>0.03</v>
      </c>
      <c r="E14" s="77">
        <v>3.45</v>
      </c>
      <c r="F14" s="77">
        <v>0.21</v>
      </c>
      <c r="G14" s="77">
        <v>0.25</v>
      </c>
      <c r="H14" s="77">
        <v>0.54</v>
      </c>
      <c r="I14" s="77">
        <v>0.01</v>
      </c>
      <c r="J14" s="298">
        <f t="shared" si="0"/>
        <v>15.39</v>
      </c>
      <c r="K14" s="43">
        <v>0</v>
      </c>
      <c r="L14" s="43">
        <v>0</v>
      </c>
    </row>
    <row r="15" spans="2:12">
      <c r="B15" s="139">
        <v>43769</v>
      </c>
      <c r="C15" s="77">
        <v>10.9</v>
      </c>
      <c r="D15" s="77">
        <v>0.03</v>
      </c>
      <c r="E15" s="77">
        <v>3.3</v>
      </c>
      <c r="F15" s="77">
        <v>0.17</v>
      </c>
      <c r="G15" s="77">
        <v>0.25</v>
      </c>
      <c r="H15" s="77">
        <v>0.54</v>
      </c>
      <c r="I15" s="77">
        <v>0.01</v>
      </c>
      <c r="J15" s="298">
        <f t="shared" si="0"/>
        <v>15.2</v>
      </c>
      <c r="K15" s="43">
        <v>0</v>
      </c>
      <c r="L15" s="43">
        <v>0</v>
      </c>
    </row>
    <row r="16" spans="2:12">
      <c r="B16" s="139">
        <v>43799</v>
      </c>
      <c r="C16" s="77">
        <v>10.9</v>
      </c>
      <c r="D16" s="77">
        <v>0.03</v>
      </c>
      <c r="E16" s="77">
        <v>3</v>
      </c>
      <c r="F16" s="77">
        <v>0.14000000000000001</v>
      </c>
      <c r="G16" s="77">
        <v>0.25</v>
      </c>
      <c r="H16" s="77">
        <v>0.54</v>
      </c>
      <c r="I16" s="77">
        <v>0.02</v>
      </c>
      <c r="J16" s="298">
        <f t="shared" si="0"/>
        <v>14.88</v>
      </c>
      <c r="K16" s="43">
        <v>0</v>
      </c>
      <c r="L16" s="43">
        <v>0</v>
      </c>
    </row>
    <row r="17" spans="2:16">
      <c r="B17" s="139">
        <v>43830</v>
      </c>
      <c r="C17" s="77">
        <v>10.9</v>
      </c>
      <c r="D17" s="77">
        <v>0.03</v>
      </c>
      <c r="E17" s="77">
        <v>2.65</v>
      </c>
      <c r="F17" s="77">
        <v>0.04</v>
      </c>
      <c r="G17" s="77">
        <v>0.25</v>
      </c>
      <c r="H17" s="77">
        <v>0.54</v>
      </c>
      <c r="I17" s="77">
        <v>0.02</v>
      </c>
      <c r="J17" s="298">
        <f t="shared" si="0"/>
        <v>14.43</v>
      </c>
      <c r="K17" s="43">
        <v>0</v>
      </c>
      <c r="L17" s="43">
        <v>0</v>
      </c>
    </row>
    <row r="18" spans="2:16">
      <c r="B18" s="139">
        <v>43861</v>
      </c>
      <c r="C18" s="77">
        <v>10.9</v>
      </c>
      <c r="D18" s="77">
        <v>0.03</v>
      </c>
      <c r="E18" s="77">
        <v>2.5</v>
      </c>
      <c r="F18" s="77">
        <v>0.01</v>
      </c>
      <c r="G18" s="77">
        <v>0.28000000000000003</v>
      </c>
      <c r="H18" s="77">
        <v>0.54</v>
      </c>
      <c r="I18" s="77">
        <v>0.02</v>
      </c>
      <c r="J18" s="298">
        <f t="shared" si="0"/>
        <v>14.28</v>
      </c>
      <c r="K18" s="43">
        <v>0</v>
      </c>
      <c r="L18" s="43">
        <v>0</v>
      </c>
    </row>
    <row r="19" spans="2:16">
      <c r="B19" s="139">
        <v>43890</v>
      </c>
      <c r="C19" s="77">
        <v>10.9</v>
      </c>
      <c r="D19" s="77">
        <v>0.03</v>
      </c>
      <c r="E19" s="77">
        <v>2.5</v>
      </c>
      <c r="F19" s="77">
        <v>-0.01</v>
      </c>
      <c r="G19" s="77">
        <v>0.28000000000000003</v>
      </c>
      <c r="H19" s="77">
        <v>0.54</v>
      </c>
      <c r="I19" s="77">
        <v>0.02</v>
      </c>
      <c r="J19" s="298">
        <f t="shared" si="0"/>
        <v>14.26</v>
      </c>
      <c r="K19" s="43">
        <v>0</v>
      </c>
      <c r="L19" s="43">
        <v>0</v>
      </c>
    </row>
    <row r="20" spans="2:16">
      <c r="B20" s="139">
        <v>43921</v>
      </c>
      <c r="C20" s="77">
        <v>10.9</v>
      </c>
      <c r="D20" s="77">
        <v>0.03</v>
      </c>
      <c r="E20" s="77">
        <v>2.5</v>
      </c>
      <c r="F20" s="77">
        <v>-0.11</v>
      </c>
      <c r="G20" s="77">
        <v>0.28000000000000003</v>
      </c>
      <c r="H20" s="77">
        <v>0.54</v>
      </c>
      <c r="I20" s="77">
        <v>0.02</v>
      </c>
      <c r="J20" s="298">
        <f t="shared" si="0"/>
        <v>14.16</v>
      </c>
      <c r="K20" s="43">
        <v>0</v>
      </c>
      <c r="L20" s="43">
        <v>0</v>
      </c>
    </row>
    <row r="21" spans="2:16">
      <c r="B21" s="139">
        <v>43951</v>
      </c>
      <c r="C21" s="77">
        <v>10.9</v>
      </c>
      <c r="D21" s="77">
        <v>0.03</v>
      </c>
      <c r="E21" s="77">
        <v>2.5</v>
      </c>
      <c r="F21" s="77">
        <v>0.24</v>
      </c>
      <c r="G21" s="77">
        <v>0.28000000000000003</v>
      </c>
      <c r="H21" s="77">
        <v>0.54</v>
      </c>
      <c r="I21" s="77">
        <v>0.02</v>
      </c>
      <c r="J21" s="298">
        <f t="shared" si="0"/>
        <v>14.51</v>
      </c>
      <c r="K21" s="43">
        <v>0</v>
      </c>
      <c r="L21" s="43">
        <v>0</v>
      </c>
    </row>
    <row r="22" spans="2:16">
      <c r="B22" s="139">
        <v>43982</v>
      </c>
      <c r="C22" s="77">
        <v>10.9</v>
      </c>
      <c r="D22" s="77">
        <v>0.03</v>
      </c>
      <c r="E22" s="77">
        <v>2.4</v>
      </c>
      <c r="F22" s="77">
        <v>0.14000000000000001</v>
      </c>
      <c r="G22" s="77">
        <v>0.28000000000000003</v>
      </c>
      <c r="H22" s="77">
        <v>0.54</v>
      </c>
      <c r="I22" s="77">
        <v>0.02</v>
      </c>
      <c r="J22" s="298">
        <f t="shared" si="0"/>
        <v>14.31</v>
      </c>
      <c r="K22" s="43">
        <v>0</v>
      </c>
      <c r="L22" s="43">
        <v>0</v>
      </c>
    </row>
    <row r="23" spans="2:16">
      <c r="B23" s="137">
        <v>44012</v>
      </c>
      <c r="C23" s="74">
        <v>10.9</v>
      </c>
      <c r="D23" s="74">
        <v>0.03</v>
      </c>
      <c r="E23" s="74">
        <v>2.4</v>
      </c>
      <c r="F23" s="74">
        <v>0.31840000000000002</v>
      </c>
      <c r="G23" s="74">
        <v>0.28000000000000003</v>
      </c>
      <c r="H23" s="74">
        <v>0.54</v>
      </c>
      <c r="I23" s="74">
        <v>2.1100000000000001E-2</v>
      </c>
      <c r="J23" s="297">
        <f t="shared" si="0"/>
        <v>14.4895</v>
      </c>
      <c r="K23" s="43">
        <v>0</v>
      </c>
      <c r="L23" s="43">
        <v>0</v>
      </c>
    </row>
    <row r="24" spans="2:16">
      <c r="B24" s="139">
        <v>44043</v>
      </c>
      <c r="C24" s="77">
        <v>10.9</v>
      </c>
      <c r="D24" s="77">
        <v>0.03</v>
      </c>
      <c r="E24" s="77">
        <v>2.4</v>
      </c>
      <c r="F24" s="77">
        <v>0.39639999999999997</v>
      </c>
      <c r="G24" s="77">
        <v>0.3</v>
      </c>
      <c r="H24" s="77">
        <v>0.54</v>
      </c>
      <c r="I24" s="77">
        <v>2.12E-2</v>
      </c>
      <c r="J24" s="298">
        <f t="shared" si="0"/>
        <v>14.5876</v>
      </c>
      <c r="K24" s="43">
        <v>0</v>
      </c>
      <c r="L24" s="43">
        <v>0</v>
      </c>
    </row>
    <row r="25" spans="2:16" ht="14.5" customHeight="1">
      <c r="B25" s="139">
        <v>44074</v>
      </c>
      <c r="C25" s="77">
        <v>10.9</v>
      </c>
      <c r="D25" s="77">
        <v>0.03</v>
      </c>
      <c r="E25" s="77">
        <v>2.4</v>
      </c>
      <c r="F25" s="77">
        <v>0.47689999999999999</v>
      </c>
      <c r="G25" s="77">
        <v>0.32</v>
      </c>
      <c r="H25" s="77">
        <v>0.54</v>
      </c>
      <c r="I25" s="77">
        <v>2.41E-2</v>
      </c>
      <c r="J25" s="298">
        <f t="shared" si="0"/>
        <v>14.691000000000001</v>
      </c>
      <c r="K25" s="43">
        <v>0</v>
      </c>
      <c r="L25" s="43">
        <v>0</v>
      </c>
    </row>
    <row r="26" spans="2:16">
      <c r="B26" s="139">
        <v>44104</v>
      </c>
      <c r="C26" s="77">
        <v>10.9</v>
      </c>
      <c r="D26" s="77">
        <v>0.03</v>
      </c>
      <c r="E26" s="77">
        <v>2.4300000000000002</v>
      </c>
      <c r="F26" s="77">
        <v>0.57799999999999996</v>
      </c>
      <c r="G26" s="77">
        <v>0.32</v>
      </c>
      <c r="H26" s="77">
        <v>0.54</v>
      </c>
      <c r="I26" s="77">
        <v>2.2499999999999999E-2</v>
      </c>
      <c r="J26" s="298">
        <f t="shared" si="0"/>
        <v>14.820499999999999</v>
      </c>
      <c r="K26" s="43">
        <v>0</v>
      </c>
      <c r="L26" s="43">
        <v>0</v>
      </c>
    </row>
    <row r="27" spans="2:16" ht="14.5" customHeight="1">
      <c r="B27" s="139">
        <v>44135</v>
      </c>
      <c r="C27" s="77">
        <v>10.9</v>
      </c>
      <c r="D27" s="77">
        <v>0.03</v>
      </c>
      <c r="E27" s="77">
        <v>2.56</v>
      </c>
      <c r="F27" s="77">
        <v>1.0730999999999999</v>
      </c>
      <c r="G27" s="77">
        <v>0.32</v>
      </c>
      <c r="H27" s="77">
        <v>0.54</v>
      </c>
      <c r="I27" s="77">
        <v>2.2499999999999999E-2</v>
      </c>
      <c r="J27" s="298">
        <f t="shared" si="0"/>
        <v>15.445600000000001</v>
      </c>
      <c r="K27" s="43">
        <v>0</v>
      </c>
      <c r="L27" s="43">
        <v>0</v>
      </c>
    </row>
    <row r="28" spans="2:16">
      <c r="B28" s="139">
        <v>44165</v>
      </c>
      <c r="C28" s="77">
        <v>10.9</v>
      </c>
      <c r="D28" s="77">
        <v>0.03</v>
      </c>
      <c r="E28" s="77">
        <v>2.56</v>
      </c>
      <c r="F28" s="77">
        <v>0.54659999999999997</v>
      </c>
      <c r="G28" s="77">
        <v>0.32</v>
      </c>
      <c r="H28" s="77">
        <v>0.51</v>
      </c>
      <c r="I28" s="77">
        <v>2.2499999999999999E-2</v>
      </c>
      <c r="J28" s="298">
        <f t="shared" si="0"/>
        <v>14.889099999999999</v>
      </c>
      <c r="K28" s="43">
        <v>0</v>
      </c>
      <c r="L28" s="43">
        <v>0</v>
      </c>
    </row>
    <row r="29" spans="2:16">
      <c r="B29" s="139">
        <v>44196</v>
      </c>
      <c r="C29" s="77">
        <v>10.9</v>
      </c>
      <c r="D29" s="77">
        <v>0.03</v>
      </c>
      <c r="E29" s="77">
        <v>2.56</v>
      </c>
      <c r="F29" s="77">
        <v>0.69769999999999999</v>
      </c>
      <c r="G29" s="77">
        <v>0.32</v>
      </c>
      <c r="H29" s="77">
        <v>0.54</v>
      </c>
      <c r="I29" s="77">
        <v>2.3900000000000001E-2</v>
      </c>
      <c r="J29" s="298">
        <f t="shared" si="0"/>
        <v>15.0716</v>
      </c>
      <c r="K29" s="43">
        <v>0</v>
      </c>
      <c r="L29" s="43">
        <v>0</v>
      </c>
      <c r="O29" t="s">
        <v>115</v>
      </c>
    </row>
    <row r="30" spans="2:16">
      <c r="B30" s="139">
        <v>44227</v>
      </c>
      <c r="C30" s="77">
        <v>10.9</v>
      </c>
      <c r="D30" s="77">
        <v>0.03</v>
      </c>
      <c r="E30" s="77">
        <v>2.58</v>
      </c>
      <c r="F30" s="77">
        <v>1.3166</v>
      </c>
      <c r="G30" s="77">
        <v>0.32</v>
      </c>
      <c r="H30" s="77">
        <v>0.43</v>
      </c>
      <c r="I30" s="77">
        <v>2.4400000000000002E-2</v>
      </c>
      <c r="J30" s="298">
        <f t="shared" si="0"/>
        <v>15.601000000000001</v>
      </c>
      <c r="K30" s="43">
        <v>0</v>
      </c>
      <c r="L30" s="43">
        <v>0</v>
      </c>
    </row>
    <row r="31" spans="2:16">
      <c r="B31" s="139">
        <v>44255</v>
      </c>
      <c r="C31" s="77">
        <v>10.9</v>
      </c>
      <c r="D31" s="77">
        <v>0.03</v>
      </c>
      <c r="E31" s="77">
        <v>2.61</v>
      </c>
      <c r="F31" s="77">
        <v>0.66490000000000005</v>
      </c>
      <c r="G31" s="77">
        <v>0.37</v>
      </c>
      <c r="H31" s="77">
        <v>0.54</v>
      </c>
      <c r="I31" s="77">
        <v>0.02</v>
      </c>
      <c r="J31" s="298">
        <f t="shared" si="0"/>
        <v>15.1349</v>
      </c>
      <c r="K31" s="43">
        <v>0</v>
      </c>
      <c r="L31" s="43">
        <v>0</v>
      </c>
      <c r="O31" t="s">
        <v>116</v>
      </c>
      <c r="P31" s="272" t="s">
        <v>117</v>
      </c>
    </row>
    <row r="32" spans="2:16">
      <c r="B32" s="139">
        <v>44286</v>
      </c>
      <c r="C32" s="77">
        <v>10.9</v>
      </c>
      <c r="D32" s="77">
        <v>0.03</v>
      </c>
      <c r="E32" s="77">
        <v>3.54</v>
      </c>
      <c r="F32" s="77">
        <v>0.77810000000000001</v>
      </c>
      <c r="G32" s="77">
        <v>0.37</v>
      </c>
      <c r="H32" s="77">
        <v>0.53</v>
      </c>
      <c r="I32" s="77">
        <v>1.8499999999999999E-2</v>
      </c>
      <c r="J32" s="298">
        <f t="shared" si="0"/>
        <v>16.166599999999999</v>
      </c>
      <c r="K32" s="43">
        <v>0</v>
      </c>
      <c r="L32" s="43">
        <v>0</v>
      </c>
    </row>
    <row r="33" spans="2:12">
      <c r="B33" s="139">
        <v>44316</v>
      </c>
      <c r="C33" s="77">
        <v>10.9</v>
      </c>
      <c r="D33" s="77">
        <v>0.03</v>
      </c>
      <c r="E33" s="77">
        <v>3.14</v>
      </c>
      <c r="F33" s="77">
        <v>0.81669999999999998</v>
      </c>
      <c r="G33" s="77">
        <v>0.37</v>
      </c>
      <c r="H33" s="77">
        <v>0.55000000000000004</v>
      </c>
      <c r="I33" s="77">
        <v>1.7999999999999999E-2</v>
      </c>
      <c r="J33" s="298">
        <f t="shared" si="0"/>
        <v>15.8247</v>
      </c>
      <c r="K33" s="43">
        <v>0</v>
      </c>
      <c r="L33" s="43">
        <v>0</v>
      </c>
    </row>
    <row r="34" spans="2:12">
      <c r="B34" s="139">
        <v>44347</v>
      </c>
      <c r="C34" s="77">
        <v>10.9</v>
      </c>
      <c r="D34" s="77">
        <v>0.03</v>
      </c>
      <c r="E34" s="77">
        <v>2.92</v>
      </c>
      <c r="F34" s="77">
        <v>0.6694</v>
      </c>
      <c r="G34" s="77">
        <v>0.37</v>
      </c>
      <c r="H34" s="77">
        <v>0.55000000000000004</v>
      </c>
      <c r="I34" s="77">
        <v>1.9599999999999999E-2</v>
      </c>
      <c r="J34" s="298">
        <f t="shared" si="0"/>
        <v>15.459</v>
      </c>
      <c r="K34" s="43">
        <v>0</v>
      </c>
      <c r="L34" s="43">
        <v>0</v>
      </c>
    </row>
    <row r="35" spans="2:12">
      <c r="B35" s="285">
        <v>45107</v>
      </c>
      <c r="C35" s="286">
        <v>20.97</v>
      </c>
      <c r="D35" s="286">
        <v>0.03</v>
      </c>
      <c r="E35" s="286">
        <v>4.49</v>
      </c>
      <c r="F35" s="286">
        <v>2.06</v>
      </c>
      <c r="G35" s="286">
        <v>0.85</v>
      </c>
      <c r="H35" s="286">
        <v>1.05</v>
      </c>
      <c r="I35" s="286">
        <v>0.01</v>
      </c>
      <c r="J35" s="299">
        <f t="shared" si="0"/>
        <v>29.46</v>
      </c>
      <c r="K35" s="300" t="s">
        <v>118</v>
      </c>
      <c r="L35" s="43"/>
    </row>
    <row r="36" spans="2:12">
      <c r="B36" s="287">
        <v>45138</v>
      </c>
      <c r="C36" s="271">
        <v>20.58</v>
      </c>
      <c r="D36" s="271">
        <v>0.08</v>
      </c>
      <c r="E36" s="271">
        <v>4.0199999999999996</v>
      </c>
      <c r="F36" s="271">
        <v>1.71</v>
      </c>
      <c r="G36" s="271">
        <v>0.23</v>
      </c>
      <c r="H36" s="271">
        <v>1.03</v>
      </c>
      <c r="I36" s="271">
        <v>0.01</v>
      </c>
      <c r="J36" s="301">
        <f t="shared" si="0"/>
        <v>27.66</v>
      </c>
      <c r="K36" s="300" t="s">
        <v>118</v>
      </c>
      <c r="L36" s="43"/>
    </row>
    <row r="37" spans="2:12">
      <c r="B37" s="287">
        <v>45169</v>
      </c>
      <c r="C37" s="271">
        <v>20.58</v>
      </c>
      <c r="D37" s="271">
        <v>0.08</v>
      </c>
      <c r="E37" s="271">
        <v>4.46</v>
      </c>
      <c r="F37" s="271">
        <v>1.71</v>
      </c>
      <c r="G37" s="271">
        <v>0.23</v>
      </c>
      <c r="H37" s="271">
        <v>1.03</v>
      </c>
      <c r="I37" s="271">
        <v>0.01</v>
      </c>
      <c r="J37" s="301">
        <f t="shared" si="0"/>
        <v>28.1</v>
      </c>
      <c r="K37" s="300" t="s">
        <v>118</v>
      </c>
      <c r="L37" s="43"/>
    </row>
    <row r="38" spans="2:12">
      <c r="B38" s="287">
        <v>45199</v>
      </c>
      <c r="C38" s="271">
        <v>20.58</v>
      </c>
      <c r="D38" s="271">
        <v>0.08</v>
      </c>
      <c r="E38" s="271">
        <v>5.74</v>
      </c>
      <c r="F38" s="271">
        <v>0.8</v>
      </c>
      <c r="G38" s="271">
        <v>0.23</v>
      </c>
      <c r="H38" s="271">
        <v>1.03</v>
      </c>
      <c r="I38" s="271">
        <v>0.01</v>
      </c>
      <c r="J38" s="301">
        <f t="shared" si="0"/>
        <v>28.47</v>
      </c>
      <c r="K38" s="300" t="s">
        <v>118</v>
      </c>
      <c r="L38" s="43"/>
    </row>
    <row r="39" spans="2:12">
      <c r="B39" s="287">
        <v>45230</v>
      </c>
      <c r="C39" s="271">
        <v>20.58</v>
      </c>
      <c r="D39" s="271">
        <v>0.08</v>
      </c>
      <c r="E39" s="271">
        <v>4.9400000000000004</v>
      </c>
      <c r="F39" s="271">
        <v>2.0499999999999998</v>
      </c>
      <c r="G39" s="271">
        <v>0.23</v>
      </c>
      <c r="H39" s="271">
        <v>1.03</v>
      </c>
      <c r="I39" s="271">
        <v>0.01</v>
      </c>
      <c r="J39" s="301">
        <f t="shared" si="0"/>
        <v>28.92</v>
      </c>
      <c r="K39" s="300" t="s">
        <v>118</v>
      </c>
      <c r="L39" s="43"/>
    </row>
    <row r="40" spans="2:12">
      <c r="B40" s="287">
        <v>45260</v>
      </c>
      <c r="C40" s="271">
        <v>20.58</v>
      </c>
      <c r="D40" s="271">
        <v>0.08</v>
      </c>
      <c r="E40" s="271">
        <v>5.74</v>
      </c>
      <c r="F40" s="271">
        <v>0.8</v>
      </c>
      <c r="G40" s="271">
        <v>0.23</v>
      </c>
      <c r="H40" s="271">
        <v>1.03</v>
      </c>
      <c r="I40" s="271">
        <v>0.01</v>
      </c>
      <c r="J40" s="301">
        <f t="shared" si="0"/>
        <v>28.47</v>
      </c>
      <c r="K40" s="300" t="s">
        <v>118</v>
      </c>
      <c r="L40" s="43"/>
    </row>
    <row r="41" spans="2:12">
      <c r="B41" s="287">
        <v>45291</v>
      </c>
      <c r="C41" s="271">
        <v>20.58</v>
      </c>
      <c r="D41" s="271">
        <v>0.08</v>
      </c>
      <c r="E41" s="271">
        <v>3.98</v>
      </c>
      <c r="F41" s="271">
        <v>3.17</v>
      </c>
      <c r="G41" s="271">
        <v>0.23</v>
      </c>
      <c r="H41" s="271">
        <v>1.03</v>
      </c>
      <c r="I41" s="271">
        <v>0.02</v>
      </c>
      <c r="J41" s="301">
        <f t="shared" si="0"/>
        <v>29.09</v>
      </c>
      <c r="K41" s="300" t="s">
        <v>118</v>
      </c>
      <c r="L41" s="43"/>
    </row>
    <row r="42" spans="2:12">
      <c r="B42" s="287">
        <v>45322</v>
      </c>
      <c r="C42" s="271">
        <v>20.58</v>
      </c>
      <c r="D42" s="271">
        <v>0.08</v>
      </c>
      <c r="E42" s="271">
        <v>4.33</v>
      </c>
      <c r="F42" s="271">
        <v>6.46</v>
      </c>
      <c r="G42" s="271">
        <v>0.33</v>
      </c>
      <c r="H42" s="271">
        <v>1.03</v>
      </c>
      <c r="I42" s="271">
        <v>0.02</v>
      </c>
      <c r="J42" s="301">
        <f t="shared" si="0"/>
        <v>32.83</v>
      </c>
      <c r="K42" s="300" t="s">
        <v>118</v>
      </c>
      <c r="L42" s="43"/>
    </row>
    <row r="43" spans="2:12">
      <c r="B43" s="287">
        <v>45351</v>
      </c>
      <c r="C43" s="271">
        <v>20.58</v>
      </c>
      <c r="D43" s="271">
        <v>0.08</v>
      </c>
      <c r="E43" s="271">
        <v>4.1399999999999997</v>
      </c>
      <c r="F43" s="271">
        <v>3.22</v>
      </c>
      <c r="G43" s="271">
        <v>0.33</v>
      </c>
      <c r="H43" s="271">
        <v>1.03</v>
      </c>
      <c r="I43" s="271">
        <v>0.01</v>
      </c>
      <c r="J43" s="301">
        <f t="shared" si="0"/>
        <v>29.39</v>
      </c>
      <c r="K43" s="300" t="s">
        <v>118</v>
      </c>
      <c r="L43" s="43"/>
    </row>
    <row r="44" spans="2:12">
      <c r="B44" s="287">
        <v>45382</v>
      </c>
      <c r="C44" s="271">
        <v>20.58</v>
      </c>
      <c r="D44" s="271">
        <v>0.08</v>
      </c>
      <c r="E44" s="271">
        <v>3.64</v>
      </c>
      <c r="F44" s="271">
        <v>3.68</v>
      </c>
      <c r="G44" s="271">
        <v>0.33</v>
      </c>
      <c r="H44" s="271">
        <v>1.03</v>
      </c>
      <c r="I44" s="271">
        <v>0.01</v>
      </c>
      <c r="J44" s="301">
        <f t="shared" si="0"/>
        <v>29.35</v>
      </c>
      <c r="K44" s="300" t="s">
        <v>118</v>
      </c>
    </row>
    <row r="45" spans="2:12">
      <c r="B45" s="287">
        <v>45412</v>
      </c>
      <c r="C45" s="271">
        <v>20.58</v>
      </c>
      <c r="D45" s="271">
        <v>0.08</v>
      </c>
      <c r="E45" s="271">
        <v>3.26</v>
      </c>
      <c r="F45" s="271">
        <v>1.96</v>
      </c>
      <c r="G45" s="271">
        <v>0.33</v>
      </c>
      <c r="H45" s="271">
        <v>1.03</v>
      </c>
      <c r="I45" s="271">
        <v>0.02</v>
      </c>
      <c r="J45" s="301">
        <f t="shared" si="0"/>
        <v>27.26</v>
      </c>
      <c r="K45" s="300" t="s">
        <v>118</v>
      </c>
    </row>
    <row r="46" spans="2:12">
      <c r="B46" s="288">
        <v>45443</v>
      </c>
      <c r="C46" s="289">
        <v>20.58</v>
      </c>
      <c r="D46" s="289">
        <v>0.08</v>
      </c>
      <c r="E46" s="289">
        <v>3.52</v>
      </c>
      <c r="F46" s="289">
        <v>0.97</v>
      </c>
      <c r="G46" s="289">
        <v>0.33</v>
      </c>
      <c r="H46" s="289">
        <v>1.03</v>
      </c>
      <c r="I46" s="289">
        <v>0.02</v>
      </c>
      <c r="J46" s="302">
        <f t="shared" si="0"/>
        <v>26.53</v>
      </c>
      <c r="K46" s="300" t="s">
        <v>118</v>
      </c>
    </row>
    <row r="47" spans="2:12">
      <c r="B47" s="290">
        <v>45473</v>
      </c>
      <c r="C47" s="291">
        <v>17.952084043732</v>
      </c>
      <c r="D47" s="291">
        <v>0.03</v>
      </c>
      <c r="E47" s="291">
        <v>4.49</v>
      </c>
      <c r="F47" s="291">
        <v>2.06</v>
      </c>
      <c r="G47" s="291">
        <v>0.85</v>
      </c>
      <c r="H47" s="291">
        <v>1.05</v>
      </c>
      <c r="I47" s="291">
        <v>0.01</v>
      </c>
      <c r="J47" s="303">
        <v>17.952084043732</v>
      </c>
      <c r="K47" s="300"/>
    </row>
    <row r="48" spans="2:12">
      <c r="B48" s="292">
        <v>45504</v>
      </c>
      <c r="C48" s="293">
        <v>19.137211587096701</v>
      </c>
      <c r="D48" s="293">
        <v>0.08</v>
      </c>
      <c r="E48" s="293">
        <v>4.0199999999999996</v>
      </c>
      <c r="F48" s="293">
        <v>1.71</v>
      </c>
      <c r="G48" s="293">
        <v>0.23</v>
      </c>
      <c r="H48" s="293">
        <v>1.03</v>
      </c>
      <c r="I48" s="293">
        <v>0.01</v>
      </c>
      <c r="J48" s="304">
        <v>19.137211587096701</v>
      </c>
      <c r="K48" s="300"/>
    </row>
    <row r="49" spans="2:18">
      <c r="B49" s="292">
        <v>45535</v>
      </c>
      <c r="C49" s="293">
        <v>19.555624148276401</v>
      </c>
      <c r="D49" s="293">
        <v>0.08</v>
      </c>
      <c r="E49" s="293">
        <v>4.46</v>
      </c>
      <c r="F49" s="293">
        <v>1.71</v>
      </c>
      <c r="G49" s="293">
        <v>0.23</v>
      </c>
      <c r="H49" s="293">
        <v>1.03</v>
      </c>
      <c r="I49" s="293">
        <v>0.01</v>
      </c>
      <c r="J49" s="304">
        <v>19.555624148276401</v>
      </c>
      <c r="K49" s="300"/>
    </row>
    <row r="50" spans="2:18">
      <c r="B50" s="292">
        <v>45565</v>
      </c>
      <c r="C50" s="293">
        <v>19.365792121921299</v>
      </c>
      <c r="D50" s="293">
        <v>0.08</v>
      </c>
      <c r="E50" s="293">
        <v>5.74</v>
      </c>
      <c r="F50" s="293">
        <v>0.8</v>
      </c>
      <c r="G50" s="293">
        <v>0.23</v>
      </c>
      <c r="H50" s="293">
        <v>1.03</v>
      </c>
      <c r="I50" s="293">
        <v>0.01</v>
      </c>
      <c r="J50" s="304">
        <v>19.365792121921299</v>
      </c>
      <c r="K50" s="300"/>
    </row>
    <row r="51" spans="2:18">
      <c r="B51" s="292">
        <v>45596</v>
      </c>
      <c r="C51" s="293">
        <v>19.406008185478999</v>
      </c>
      <c r="D51" s="293">
        <v>0.08</v>
      </c>
      <c r="E51" s="293">
        <v>4.9400000000000004</v>
      </c>
      <c r="F51" s="293">
        <v>2.0499999999999998</v>
      </c>
      <c r="G51" s="293">
        <v>0.23</v>
      </c>
      <c r="H51" s="293">
        <v>1.03</v>
      </c>
      <c r="I51" s="293">
        <v>0.01</v>
      </c>
      <c r="J51" s="304">
        <v>19.406008185478999</v>
      </c>
      <c r="K51" s="300"/>
    </row>
    <row r="52" spans="2:18">
      <c r="B52" s="292">
        <v>45626</v>
      </c>
      <c r="C52" s="293">
        <v>17.907341644990801</v>
      </c>
      <c r="D52" s="293">
        <v>0.08</v>
      </c>
      <c r="E52" s="293">
        <v>5.74</v>
      </c>
      <c r="F52" s="293">
        <v>0.8</v>
      </c>
      <c r="G52" s="293">
        <v>0.23</v>
      </c>
      <c r="H52" s="293">
        <v>1.03</v>
      </c>
      <c r="I52" s="293">
        <v>0.01</v>
      </c>
      <c r="J52" s="304">
        <v>17.907341644990801</v>
      </c>
      <c r="K52" s="300"/>
    </row>
    <row r="53" spans="2:18">
      <c r="B53" s="292">
        <v>45657</v>
      </c>
      <c r="C53" s="293">
        <v>17.829647840709701</v>
      </c>
      <c r="D53" s="293">
        <v>0.08</v>
      </c>
      <c r="E53" s="293">
        <v>3.98</v>
      </c>
      <c r="F53" s="293">
        <v>3.17</v>
      </c>
      <c r="G53" s="293">
        <v>0.23</v>
      </c>
      <c r="H53" s="293">
        <v>1.03</v>
      </c>
      <c r="I53" s="293">
        <v>0.02</v>
      </c>
      <c r="J53" s="304">
        <v>17.829647840709701</v>
      </c>
      <c r="K53" s="300"/>
    </row>
    <row r="54" spans="2:18">
      <c r="B54" s="292">
        <v>45688</v>
      </c>
      <c r="C54" s="293">
        <v>17.827004131260299</v>
      </c>
      <c r="D54" s="293">
        <v>0.08</v>
      </c>
      <c r="E54" s="293">
        <v>4.33</v>
      </c>
      <c r="F54" s="293">
        <v>6.46</v>
      </c>
      <c r="G54" s="293">
        <v>0.33</v>
      </c>
      <c r="H54" s="293">
        <v>1.03</v>
      </c>
      <c r="I54" s="293">
        <v>0.02</v>
      </c>
      <c r="J54" s="304">
        <v>17.827004131260299</v>
      </c>
      <c r="K54" s="300"/>
    </row>
    <row r="55" spans="2:18">
      <c r="B55" s="292" t="s">
        <v>119</v>
      </c>
      <c r="C55" s="293">
        <v>17.7933794132346</v>
      </c>
      <c r="D55" s="293">
        <v>0.08</v>
      </c>
      <c r="E55" s="293">
        <v>4.1399999999999997</v>
      </c>
      <c r="F55" s="293">
        <v>3.22</v>
      </c>
      <c r="G55" s="293">
        <v>0.33</v>
      </c>
      <c r="H55" s="293">
        <v>1.03</v>
      </c>
      <c r="I55" s="293">
        <v>0.01</v>
      </c>
      <c r="J55" s="304">
        <v>17.7933794132346</v>
      </c>
      <c r="K55" s="300"/>
    </row>
    <row r="56" spans="2:18">
      <c r="B56" s="292">
        <v>45747</v>
      </c>
      <c r="C56" s="293">
        <v>9.6084013973856397</v>
      </c>
      <c r="D56" s="293">
        <v>0.08</v>
      </c>
      <c r="E56" s="293">
        <v>3.64</v>
      </c>
      <c r="F56" s="293">
        <v>3.68</v>
      </c>
      <c r="G56" s="293">
        <v>0.33</v>
      </c>
      <c r="H56" s="293">
        <v>1.03</v>
      </c>
      <c r="I56" s="293">
        <v>0.01</v>
      </c>
      <c r="J56" s="304">
        <v>9.6084013973856397</v>
      </c>
      <c r="K56" s="300"/>
    </row>
    <row r="57" spans="2:18">
      <c r="B57" s="292">
        <v>45777</v>
      </c>
      <c r="C57" s="293">
        <v>20.0674005030906</v>
      </c>
      <c r="D57" s="293">
        <v>0.08</v>
      </c>
      <c r="E57" s="293">
        <v>3.26</v>
      </c>
      <c r="F57" s="293">
        <v>1.96</v>
      </c>
      <c r="G57" s="293">
        <v>0.33</v>
      </c>
      <c r="H57" s="293">
        <v>1.03</v>
      </c>
      <c r="I57" s="293">
        <v>0.02</v>
      </c>
      <c r="J57" s="304">
        <v>20.0674005030906</v>
      </c>
      <c r="K57" s="300"/>
    </row>
    <row r="58" spans="2:18">
      <c r="B58" s="294">
        <v>45808</v>
      </c>
      <c r="C58" s="295">
        <v>19.480440032767099</v>
      </c>
      <c r="D58" s="295">
        <v>0.08</v>
      </c>
      <c r="E58" s="295">
        <v>3.52</v>
      </c>
      <c r="F58" s="295">
        <v>0.97</v>
      </c>
      <c r="G58" s="295">
        <v>0.33</v>
      </c>
      <c r="H58" s="295">
        <v>1.03</v>
      </c>
      <c r="I58" s="295">
        <v>0.02</v>
      </c>
      <c r="J58" s="305">
        <v>19.480440032767099</v>
      </c>
      <c r="K58" s="300"/>
    </row>
    <row r="59" spans="2:18">
      <c r="B59" s="25"/>
      <c r="J59" s="306"/>
    </row>
    <row r="60" spans="2:18">
      <c r="C60" t="s">
        <v>120</v>
      </c>
      <c r="D60" s="296">
        <f>AVERAGE(J35:J46)</f>
        <v>28.794166666666701</v>
      </c>
      <c r="E60" s="51"/>
      <c r="F60" t="s">
        <v>121</v>
      </c>
    </row>
    <row r="61" spans="2:18">
      <c r="C61" t="s">
        <v>122</v>
      </c>
      <c r="D61" s="296">
        <f>AVERAGE(J47:J58)</f>
        <v>17.994194587495301</v>
      </c>
      <c r="E61" s="187">
        <f>(D61-D60)/D60</f>
        <v>-0.37507500057898302</v>
      </c>
      <c r="F61" t="s">
        <v>123</v>
      </c>
    </row>
    <row r="63" spans="2:18">
      <c r="N63" s="47"/>
      <c r="O63" s="202"/>
      <c r="P63" s="202"/>
      <c r="Q63" s="25"/>
      <c r="R63" s="60"/>
    </row>
    <row r="67" spans="2:12" ht="14.5">
      <c r="G67" s="44" t="s">
        <v>124</v>
      </c>
      <c r="H67" s="44"/>
      <c r="I67" s="44"/>
      <c r="J67" s="39">
        <v>43612.875</v>
      </c>
    </row>
    <row r="69" spans="2:12">
      <c r="G69" s="45" t="s">
        <v>125</v>
      </c>
      <c r="H69" s="45" t="s">
        <v>126</v>
      </c>
      <c r="I69" s="45" t="s">
        <v>127</v>
      </c>
      <c r="J69" s="45" t="s">
        <v>128</v>
      </c>
      <c r="K69" s="45" t="s">
        <v>129</v>
      </c>
    </row>
    <row r="70" spans="2:12">
      <c r="G70" s="47">
        <v>0</v>
      </c>
      <c r="J70" s="171">
        <v>43612.875</v>
      </c>
      <c r="K70" s="57"/>
      <c r="L70" s="57" t="s">
        <v>7</v>
      </c>
    </row>
    <row r="71" spans="2:12">
      <c r="G71" s="47">
        <v>1</v>
      </c>
      <c r="H71" s="50">
        <v>0.1099</v>
      </c>
      <c r="I71" s="50">
        <v>0.25</v>
      </c>
      <c r="J71" s="25">
        <v>43982</v>
      </c>
      <c r="K71" s="200">
        <v>0</v>
      </c>
    </row>
    <row r="72" spans="2:12">
      <c r="B72" s="122" t="s">
        <v>130</v>
      </c>
      <c r="C72" s="123" t="s">
        <v>131</v>
      </c>
      <c r="D72" s="123">
        <v>129.313028</v>
      </c>
      <c r="E72" s="129" t="s">
        <v>132</v>
      </c>
      <c r="F72" s="129"/>
      <c r="G72" s="47">
        <v>2</v>
      </c>
      <c r="H72" s="202">
        <f t="shared" ref="H72:H86" si="1">H71*(1+$K$72)</f>
        <v>0.1126475</v>
      </c>
      <c r="I72" s="202">
        <f t="shared" ref="I72:I86" si="2">I71*(1+$K$72)</f>
        <v>0.25624999999999998</v>
      </c>
      <c r="J72" s="25">
        <f>EDATE(J71,12)</f>
        <v>44347</v>
      </c>
      <c r="K72" s="60">
        <v>2.5000000000000001E-2</v>
      </c>
    </row>
    <row r="73" spans="2:12">
      <c r="B73" s="307">
        <f>H78</f>
        <v>0.12745030666159701</v>
      </c>
      <c r="C73" s="123" t="s">
        <v>133</v>
      </c>
      <c r="D73" s="131">
        <f>B73*$D$72</f>
        <v>16.4809850739396</v>
      </c>
      <c r="E73" s="129" t="s">
        <v>134</v>
      </c>
      <c r="F73" s="129"/>
      <c r="G73" s="47">
        <v>3</v>
      </c>
      <c r="H73" s="202">
        <f t="shared" si="1"/>
        <v>0.1154636875</v>
      </c>
      <c r="I73" s="202">
        <f t="shared" si="2"/>
        <v>0.26265624999999998</v>
      </c>
      <c r="J73" s="25">
        <f t="shared" ref="J73:J86" si="3">EDATE(J72,12)</f>
        <v>44712</v>
      </c>
      <c r="K73" s="60">
        <v>2.5000000000000001E-2</v>
      </c>
    </row>
    <row r="74" spans="2:12">
      <c r="B74" s="307">
        <f>I78</f>
        <v>0.28992335455322299</v>
      </c>
      <c r="C74" s="123" t="s">
        <v>135</v>
      </c>
      <c r="D74" s="308">
        <f>B74*$D$72</f>
        <v>37.490866865194803</v>
      </c>
      <c r="E74" s="129" t="s">
        <v>134</v>
      </c>
      <c r="F74" s="129"/>
      <c r="G74" s="47">
        <v>4</v>
      </c>
      <c r="H74" s="202">
        <f t="shared" si="1"/>
        <v>0.1183502796875</v>
      </c>
      <c r="I74" s="202">
        <f t="shared" si="2"/>
        <v>0.26922265625000003</v>
      </c>
      <c r="J74" s="25">
        <f t="shared" si="3"/>
        <v>45077</v>
      </c>
      <c r="K74" s="60">
        <v>2.5000000000000001E-2</v>
      </c>
    </row>
    <row r="75" spans="2:12">
      <c r="B75" s="309"/>
      <c r="C75" s="129" t="s">
        <v>136</v>
      </c>
      <c r="D75" s="310">
        <f>D61</f>
        <v>17.994194587495301</v>
      </c>
      <c r="E75" s="129" t="s">
        <v>134</v>
      </c>
      <c r="F75" s="129"/>
      <c r="G75" s="47"/>
      <c r="H75" s="202"/>
      <c r="I75" s="202"/>
      <c r="J75" s="25"/>
      <c r="K75" s="60"/>
    </row>
    <row r="76" spans="2:12">
      <c r="B76" s="123"/>
      <c r="C76" s="123" t="s">
        <v>137</v>
      </c>
      <c r="D76" s="128">
        <v>0.05</v>
      </c>
      <c r="E76" s="123"/>
      <c r="F76" s="123"/>
      <c r="G76" s="47">
        <v>5</v>
      </c>
      <c r="H76" s="202">
        <f>H74*(1+$K$72)</f>
        <v>0.121309036679687</v>
      </c>
      <c r="I76" s="202">
        <f>I74*(1+$K$72)</f>
        <v>0.27595322265625</v>
      </c>
      <c r="J76" s="25">
        <f>EDATE(J74,12)</f>
        <v>45443</v>
      </c>
      <c r="K76" s="60">
        <v>2.5000000000000001E-2</v>
      </c>
      <c r="L76" s="234"/>
    </row>
    <row r="77" spans="2:12">
      <c r="B77" s="123"/>
      <c r="C77" s="129" t="s">
        <v>138</v>
      </c>
      <c r="D77" s="311">
        <f>D61*(1-D76)</f>
        <v>17.094484858120602</v>
      </c>
      <c r="E77" s="129" t="s">
        <v>134</v>
      </c>
      <c r="F77" s="123"/>
      <c r="G77" s="47">
        <v>6</v>
      </c>
      <c r="H77" s="202">
        <f>H76*(1+$K$72)</f>
        <v>0.12434176259668001</v>
      </c>
      <c r="I77" s="202">
        <f>I76*(1+$K$72)</f>
        <v>0.282852053222656</v>
      </c>
      <c r="J77" s="25">
        <f>EDATE(J76,12)</f>
        <v>45808</v>
      </c>
      <c r="K77" s="60">
        <v>2.5000000000000001E-2</v>
      </c>
      <c r="L77" s="234"/>
    </row>
    <row r="78" spans="2:12">
      <c r="G78" s="312">
        <v>7</v>
      </c>
      <c r="H78" s="313">
        <f t="shared" si="1"/>
        <v>0.12745030666159701</v>
      </c>
      <c r="I78" s="313">
        <f t="shared" si="2"/>
        <v>0.28992335455322299</v>
      </c>
      <c r="J78" s="58">
        <f t="shared" si="3"/>
        <v>46173</v>
      </c>
      <c r="K78" s="59">
        <v>2.5000000000000001E-2</v>
      </c>
    </row>
    <row r="79" spans="2:12">
      <c r="G79" s="47">
        <v>8</v>
      </c>
      <c r="H79" s="202">
        <f t="shared" si="1"/>
        <v>0.130636564328137</v>
      </c>
      <c r="I79" s="202">
        <f t="shared" si="2"/>
        <v>0.29717143841705301</v>
      </c>
      <c r="J79" s="25">
        <f t="shared" si="3"/>
        <v>46538</v>
      </c>
      <c r="K79" s="60">
        <v>2.5000000000000001E-2</v>
      </c>
    </row>
    <row r="80" spans="2:12">
      <c r="G80" s="47">
        <v>9</v>
      </c>
      <c r="H80" s="202">
        <f t="shared" si="1"/>
        <v>0.13390247843634001</v>
      </c>
      <c r="I80" s="202">
        <f t="shared" si="2"/>
        <v>0.30460072437747898</v>
      </c>
      <c r="J80" s="25">
        <f t="shared" si="3"/>
        <v>46904</v>
      </c>
      <c r="K80" s="60">
        <v>2.5000000000000001E-2</v>
      </c>
    </row>
    <row r="81" spans="3:25">
      <c r="G81" s="47">
        <v>10</v>
      </c>
      <c r="H81" s="202">
        <f t="shared" si="1"/>
        <v>0.137250040397248</v>
      </c>
      <c r="I81" s="202">
        <f t="shared" si="2"/>
        <v>0.31221574248691603</v>
      </c>
      <c r="J81" s="25">
        <f t="shared" si="3"/>
        <v>47269</v>
      </c>
      <c r="K81" s="60">
        <v>2.5000000000000001E-2</v>
      </c>
    </row>
    <row r="82" spans="3:25">
      <c r="G82" s="47">
        <v>11</v>
      </c>
      <c r="H82" s="202">
        <f t="shared" si="1"/>
        <v>0.14068129140718</v>
      </c>
      <c r="I82" s="202">
        <f t="shared" si="2"/>
        <v>0.32002113604908899</v>
      </c>
      <c r="J82" s="25">
        <f t="shared" si="3"/>
        <v>47634</v>
      </c>
      <c r="K82" s="60">
        <v>2.5000000000000001E-2</v>
      </c>
    </row>
    <row r="83" spans="3:25">
      <c r="G83" s="47">
        <v>12</v>
      </c>
      <c r="H83" s="202">
        <f t="shared" si="1"/>
        <v>0.14419832369235899</v>
      </c>
      <c r="I83" s="202">
        <f t="shared" si="2"/>
        <v>0.328021664450316</v>
      </c>
      <c r="J83" s="25">
        <f t="shared" si="3"/>
        <v>47999</v>
      </c>
      <c r="K83" s="60">
        <v>2.5000000000000001E-2</v>
      </c>
    </row>
    <row r="84" spans="3:25">
      <c r="G84" s="47">
        <v>13</v>
      </c>
      <c r="H84" s="202">
        <f t="shared" si="1"/>
        <v>0.14780328178466801</v>
      </c>
      <c r="I84" s="202">
        <f t="shared" si="2"/>
        <v>0.33622220606157399</v>
      </c>
      <c r="J84" s="25">
        <f t="shared" si="3"/>
        <v>48365</v>
      </c>
      <c r="K84" s="60">
        <v>2.5000000000000001E-2</v>
      </c>
    </row>
    <row r="85" spans="3:25">
      <c r="G85" s="47">
        <v>14</v>
      </c>
      <c r="H85" s="202">
        <f t="shared" si="1"/>
        <v>0.151498363829285</v>
      </c>
      <c r="I85" s="202">
        <f t="shared" si="2"/>
        <v>0.344627761213114</v>
      </c>
      <c r="J85" s="25">
        <f t="shared" si="3"/>
        <v>48730</v>
      </c>
      <c r="K85" s="60">
        <v>2.5000000000000001E-2</v>
      </c>
    </row>
    <row r="86" spans="3:25">
      <c r="G86" s="47">
        <v>15</v>
      </c>
      <c r="H86" s="202">
        <f t="shared" si="1"/>
        <v>0.155285822925017</v>
      </c>
      <c r="I86" s="202">
        <f t="shared" si="2"/>
        <v>0.35324345524344097</v>
      </c>
      <c r="J86" s="25">
        <f t="shared" si="3"/>
        <v>49095</v>
      </c>
      <c r="K86" s="60">
        <v>2.5000000000000001E-2</v>
      </c>
    </row>
    <row r="88" spans="3:25">
      <c r="C88" s="40" t="s">
        <v>139</v>
      </c>
      <c r="D88" s="40"/>
      <c r="E88" s="40"/>
      <c r="F88" s="40"/>
      <c r="G88" s="40"/>
      <c r="H88" s="40"/>
      <c r="I88" s="40"/>
      <c r="J88" s="40"/>
      <c r="K88" s="40"/>
      <c r="L88" s="40"/>
      <c r="M88" s="40"/>
      <c r="N88" s="40"/>
      <c r="O88" s="40"/>
    </row>
    <row r="92" spans="3:25">
      <c r="T92" s="25"/>
    </row>
    <row r="93" spans="3:25">
      <c r="T93" s="25"/>
    </row>
    <row r="94" spans="3:25">
      <c r="R94" s="314"/>
    </row>
    <row r="95" spans="3:25">
      <c r="S95" s="202"/>
      <c r="T95" s="127"/>
      <c r="U95" s="127"/>
      <c r="V95" s="127"/>
      <c r="W95" s="127"/>
      <c r="Y95" s="316"/>
    </row>
    <row r="96" spans="3:25">
      <c r="U96" s="127"/>
      <c r="W96" s="50"/>
      <c r="Y96" s="174"/>
    </row>
    <row r="97" spans="19:23">
      <c r="S97" s="174"/>
      <c r="T97" s="174"/>
      <c r="U97" s="127"/>
      <c r="W97" s="127"/>
    </row>
    <row r="98" spans="19:23">
      <c r="S98" s="127"/>
      <c r="U98" s="127"/>
    </row>
    <row r="99" spans="19:23">
      <c r="U99" s="127"/>
    </row>
    <row r="100" spans="19:23">
      <c r="S100" s="315"/>
    </row>
    <row r="101" spans="19:23" ht="14.5" customHeight="1">
      <c r="S101" s="50"/>
    </row>
    <row r="102" spans="19:23">
      <c r="S102" s="50"/>
    </row>
    <row r="103" spans="19:23">
      <c r="S103" s="127"/>
    </row>
    <row r="104" spans="19:23">
      <c r="S104" s="50"/>
    </row>
    <row r="105" spans="19:23">
      <c r="S105" s="127"/>
    </row>
    <row r="106" spans="19:23">
      <c r="S106" s="50"/>
    </row>
    <row r="122" spans="3:7">
      <c r="C122" s="57" t="s">
        <v>140</v>
      </c>
      <c r="D122" s="57"/>
      <c r="E122" s="57"/>
      <c r="F122" s="57"/>
      <c r="G122" s="57"/>
    </row>
  </sheetData>
  <hyperlinks>
    <hyperlink ref="P31" r:id="rId1" xr:uid="{00000000-0004-0000-0100-000000000000}"/>
  </hyperlinks>
  <pageMargins left="0.7" right="0.7" top="0.75" bottom="0.75" header="0.3" footer="0.3"/>
  <pageSetup orientation="portrait"/>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2:Y111"/>
  <sheetViews>
    <sheetView showGridLines="0" topLeftCell="A54" zoomScale="70" zoomScaleNormal="70" workbookViewId="0">
      <selection activeCell="I88" sqref="I88"/>
    </sheetView>
  </sheetViews>
  <sheetFormatPr defaultColWidth="9" defaultRowHeight="14"/>
  <cols>
    <col min="2" max="2" width="12.26953125" customWidth="1"/>
    <col min="3" max="3" width="31.6328125" customWidth="1"/>
    <col min="4" max="4" width="14.453125" customWidth="1"/>
    <col min="5" max="5" width="17.453125" customWidth="1"/>
    <col min="6" max="6" width="12.81640625" customWidth="1"/>
    <col min="7" max="7" width="17.81640625" customWidth="1"/>
    <col min="8" max="8" width="18.453125" customWidth="1"/>
    <col min="10" max="10" width="17.453125" customWidth="1"/>
    <col min="11" max="11" width="21.26953125" customWidth="1"/>
    <col min="12" max="12" width="20.453125" customWidth="1"/>
    <col min="13" max="13" width="13.1796875" customWidth="1"/>
    <col min="14" max="14" width="13.81640625" customWidth="1"/>
    <col min="15" max="15" width="12.7265625" customWidth="1"/>
    <col min="16" max="16" width="14.1796875" customWidth="1"/>
    <col min="19" max="19" width="10.453125" customWidth="1"/>
    <col min="20" max="20" width="9.453125" customWidth="1"/>
  </cols>
  <sheetData>
    <row r="2" spans="2:19">
      <c r="B2" s="61" t="s">
        <v>141</v>
      </c>
      <c r="C2" s="61" t="s">
        <v>142</v>
      </c>
      <c r="D2" s="61" t="s">
        <v>143</v>
      </c>
      <c r="E2" s="61" t="s">
        <v>144</v>
      </c>
      <c r="F2" s="61" t="s">
        <v>145</v>
      </c>
      <c r="G2" s="61" t="s">
        <v>146</v>
      </c>
      <c r="H2" s="61" t="s">
        <v>147</v>
      </c>
    </row>
    <row r="3" spans="2:19">
      <c r="B3" s="4" t="s">
        <v>104</v>
      </c>
      <c r="C3" s="4" t="s">
        <v>148</v>
      </c>
      <c r="D3" s="4" t="s">
        <v>149</v>
      </c>
      <c r="E3" s="4" t="s">
        <v>150</v>
      </c>
      <c r="F3" s="4" t="s">
        <v>112</v>
      </c>
      <c r="G3" s="4" t="s">
        <v>113</v>
      </c>
      <c r="H3" s="4" t="s">
        <v>114</v>
      </c>
    </row>
    <row r="4" spans="2:19">
      <c r="B4" s="137">
        <v>44227</v>
      </c>
      <c r="C4" s="102">
        <v>0.79520000000000002</v>
      </c>
      <c r="D4" s="102">
        <v>1.5900000000000001E-2</v>
      </c>
      <c r="E4" s="102">
        <v>2.3900000000000001E-2</v>
      </c>
      <c r="F4" s="250">
        <f>SUM(C4:E4)</f>
        <v>0.83499999999999996</v>
      </c>
      <c r="G4" s="102">
        <v>0</v>
      </c>
      <c r="H4" s="160">
        <v>0</v>
      </c>
    </row>
    <row r="5" spans="2:19">
      <c r="B5" s="139">
        <v>44255</v>
      </c>
      <c r="C5" s="12">
        <v>0.79520000000000002</v>
      </c>
      <c r="D5" s="12">
        <v>1.5900000000000001E-2</v>
      </c>
      <c r="E5" s="12">
        <v>2.3900000000000001E-2</v>
      </c>
      <c r="F5" s="251">
        <f t="shared" ref="F5:F43" si="0">SUM(C5:E5)</f>
        <v>0.83499999999999996</v>
      </c>
      <c r="G5" s="12">
        <v>0</v>
      </c>
      <c r="H5" s="161">
        <v>0</v>
      </c>
    </row>
    <row r="6" spans="2:19">
      <c r="B6" s="139">
        <v>44286</v>
      </c>
      <c r="C6" s="12">
        <v>0.79520000000000002</v>
      </c>
      <c r="D6" s="12">
        <v>1.5900000000000001E-2</v>
      </c>
      <c r="E6" s="12">
        <v>2.3900000000000001E-2</v>
      </c>
      <c r="F6" s="251">
        <f t="shared" si="0"/>
        <v>0.83499999999999996</v>
      </c>
      <c r="G6" s="12">
        <v>0</v>
      </c>
      <c r="H6" s="161">
        <v>0</v>
      </c>
    </row>
    <row r="7" spans="2:19">
      <c r="B7" s="139">
        <v>44316</v>
      </c>
      <c r="C7" s="12">
        <v>0.79520000000000002</v>
      </c>
      <c r="D7" s="12">
        <v>1.5900000000000001E-2</v>
      </c>
      <c r="E7" s="12">
        <v>2.3900000000000001E-2</v>
      </c>
      <c r="F7" s="251">
        <f t="shared" si="0"/>
        <v>0.83499999999999996</v>
      </c>
      <c r="G7" s="12">
        <v>0</v>
      </c>
      <c r="H7" s="161">
        <v>0</v>
      </c>
    </row>
    <row r="8" spans="2:19">
      <c r="B8" s="139">
        <v>44347</v>
      </c>
      <c r="C8" s="12">
        <v>0.79520000000000002</v>
      </c>
      <c r="D8" s="12">
        <v>1.5900000000000001E-2</v>
      </c>
      <c r="E8" s="12">
        <v>2.3900000000000001E-2</v>
      </c>
      <c r="F8" s="251">
        <f t="shared" si="0"/>
        <v>0.83499999999999996</v>
      </c>
      <c r="G8" s="12">
        <v>0</v>
      </c>
      <c r="H8" s="161">
        <v>0</v>
      </c>
    </row>
    <row r="9" spans="2:19">
      <c r="B9" s="139">
        <v>44377</v>
      </c>
      <c r="C9" s="12">
        <v>0.79520000000000002</v>
      </c>
      <c r="D9" s="12">
        <v>1.5900000000000001E-2</v>
      </c>
      <c r="E9" s="12">
        <v>2.3900000000000001E-2</v>
      </c>
      <c r="F9" s="251">
        <f t="shared" si="0"/>
        <v>0.83499999999999996</v>
      </c>
      <c r="G9" s="12">
        <v>0</v>
      </c>
      <c r="H9" s="161">
        <v>0</v>
      </c>
    </row>
    <row r="10" spans="2:19">
      <c r="B10" s="139">
        <v>44408</v>
      </c>
      <c r="C10" s="12">
        <v>0.79520000000000002</v>
      </c>
      <c r="D10" s="12">
        <v>1.5900000000000001E-2</v>
      </c>
      <c r="E10" s="12">
        <v>2.3900000000000001E-2</v>
      </c>
      <c r="F10" s="251">
        <f t="shared" si="0"/>
        <v>0.83499999999999996</v>
      </c>
      <c r="G10" s="12">
        <v>0</v>
      </c>
      <c r="H10" s="161">
        <v>0</v>
      </c>
    </row>
    <row r="11" spans="2:19">
      <c r="B11" s="139">
        <v>44439</v>
      </c>
      <c r="C11" s="12">
        <v>0.79520000000000002</v>
      </c>
      <c r="D11" s="12">
        <v>1.5900000000000001E-2</v>
      </c>
      <c r="E11" s="12">
        <v>2.3900000000000001E-2</v>
      </c>
      <c r="F11" s="251">
        <f t="shared" si="0"/>
        <v>0.83499999999999996</v>
      </c>
      <c r="G11" s="12">
        <v>0</v>
      </c>
      <c r="H11" s="161">
        <v>0</v>
      </c>
    </row>
    <row r="12" spans="2:19" ht="15.5">
      <c r="B12" s="139">
        <v>44469</v>
      </c>
      <c r="C12" s="12">
        <v>0.79520000000000002</v>
      </c>
      <c r="D12" s="12">
        <v>1.5900000000000001E-2</v>
      </c>
      <c r="E12" s="12">
        <v>2.3900000000000001E-2</v>
      </c>
      <c r="F12" s="251">
        <f t="shared" si="0"/>
        <v>0.83499999999999996</v>
      </c>
      <c r="G12" s="12">
        <v>0</v>
      </c>
      <c r="H12" s="161">
        <v>0</v>
      </c>
      <c r="M12" s="382" t="s">
        <v>151</v>
      </c>
      <c r="N12" s="376"/>
      <c r="O12" s="376"/>
      <c r="P12" s="376"/>
      <c r="Q12" s="376"/>
      <c r="R12" s="376"/>
    </row>
    <row r="13" spans="2:19" ht="15.5">
      <c r="B13" s="139">
        <v>44500</v>
      </c>
      <c r="C13" s="12">
        <v>0.79520000000000002</v>
      </c>
      <c r="D13" s="12">
        <v>1.5900000000000001E-2</v>
      </c>
      <c r="E13" s="12">
        <v>2.3900000000000001E-2</v>
      </c>
      <c r="F13" s="251">
        <f t="shared" si="0"/>
        <v>0.83499999999999996</v>
      </c>
      <c r="G13" s="12">
        <v>0</v>
      </c>
      <c r="H13" s="161">
        <v>0</v>
      </c>
      <c r="M13" s="382" t="s">
        <v>152</v>
      </c>
      <c r="N13" s="376"/>
      <c r="O13" s="376"/>
      <c r="P13" s="376"/>
      <c r="Q13" s="376"/>
      <c r="R13" s="376"/>
    </row>
    <row r="14" spans="2:19">
      <c r="B14" s="139">
        <v>44530</v>
      </c>
      <c r="C14" s="12">
        <v>0.79520000000000002</v>
      </c>
      <c r="D14" s="12">
        <v>1.5900000000000001E-2</v>
      </c>
      <c r="E14" s="12">
        <v>2.3900000000000001E-2</v>
      </c>
      <c r="F14" s="251">
        <f t="shared" si="0"/>
        <v>0.83499999999999996</v>
      </c>
      <c r="G14" s="12">
        <v>0</v>
      </c>
      <c r="H14" s="161">
        <v>0</v>
      </c>
      <c r="M14" s="376"/>
      <c r="N14" s="376"/>
      <c r="O14" s="376"/>
      <c r="P14" s="376"/>
      <c r="Q14" s="376"/>
      <c r="R14" s="376"/>
    </row>
    <row r="15" spans="2:19">
      <c r="B15" s="141">
        <v>44561</v>
      </c>
      <c r="C15" s="23">
        <v>0.79520000000000002</v>
      </c>
      <c r="D15" s="23">
        <v>1.5900000000000001E-2</v>
      </c>
      <c r="E15" s="23">
        <v>2.3900000000000001E-2</v>
      </c>
      <c r="F15" s="252">
        <f t="shared" si="0"/>
        <v>0.83499999999999996</v>
      </c>
      <c r="G15" s="23">
        <v>0</v>
      </c>
      <c r="H15" s="162">
        <v>0</v>
      </c>
      <c r="M15" s="256" t="s">
        <v>153</v>
      </c>
      <c r="N15" s="375" t="s">
        <v>154</v>
      </c>
      <c r="O15" s="376"/>
      <c r="P15" s="376"/>
      <c r="Q15" s="376"/>
      <c r="R15" s="376"/>
      <c r="S15" s="272" t="s">
        <v>155</v>
      </c>
    </row>
    <row r="16" spans="2:19">
      <c r="B16" s="137">
        <v>44592</v>
      </c>
      <c r="C16" s="102">
        <v>0.79520000000000002</v>
      </c>
      <c r="D16" s="102">
        <v>1.5900000000000001E-2</v>
      </c>
      <c r="E16" s="102">
        <v>2.3900000000000001E-2</v>
      </c>
      <c r="F16" s="250">
        <f t="shared" si="0"/>
        <v>0.83499999999999996</v>
      </c>
      <c r="G16" s="102">
        <v>0</v>
      </c>
      <c r="H16" s="160">
        <v>0</v>
      </c>
      <c r="M16" s="383" t="s">
        <v>156</v>
      </c>
      <c r="N16" s="376"/>
      <c r="O16" s="376"/>
      <c r="P16" s="376"/>
      <c r="Q16" s="376"/>
      <c r="R16" s="376"/>
    </row>
    <row r="17" spans="2:25">
      <c r="B17" s="139">
        <v>44620</v>
      </c>
      <c r="C17" s="12">
        <v>0.79520000000000002</v>
      </c>
      <c r="D17" s="12">
        <v>1.5900000000000001E-2</v>
      </c>
      <c r="E17" s="12">
        <v>2.3900000000000001E-2</v>
      </c>
      <c r="F17" s="251">
        <f t="shared" si="0"/>
        <v>0.83499999999999996</v>
      </c>
      <c r="G17" s="12">
        <v>0</v>
      </c>
      <c r="H17" s="161">
        <v>0</v>
      </c>
      <c r="M17" s="257" t="s">
        <v>157</v>
      </c>
      <c r="N17" s="258" t="s">
        <v>158</v>
      </c>
    </row>
    <row r="18" spans="2:25">
      <c r="B18" s="139">
        <v>44651</v>
      </c>
      <c r="C18" s="12">
        <v>0.79520000000000002</v>
      </c>
      <c r="D18" s="12">
        <v>1.5900000000000001E-2</v>
      </c>
      <c r="E18" s="12">
        <v>2.3900000000000001E-2</v>
      </c>
      <c r="F18" s="251">
        <f t="shared" si="0"/>
        <v>0.83499999999999996</v>
      </c>
      <c r="G18" s="12">
        <v>0</v>
      </c>
      <c r="H18" s="161">
        <v>0</v>
      </c>
      <c r="M18" s="256" t="s">
        <v>159</v>
      </c>
      <c r="N18" s="375" t="s">
        <v>160</v>
      </c>
      <c r="O18" s="376"/>
      <c r="P18" s="376"/>
      <c r="Q18" s="376"/>
      <c r="R18" s="376"/>
    </row>
    <row r="19" spans="2:25">
      <c r="B19" s="139">
        <v>44681</v>
      </c>
      <c r="C19" s="12">
        <v>0.79520000000000002</v>
      </c>
      <c r="D19" s="12">
        <v>1.5900000000000001E-2</v>
      </c>
      <c r="E19" s="12">
        <v>2.3900000000000001E-2</v>
      </c>
      <c r="F19" s="251">
        <f t="shared" si="0"/>
        <v>0.83499999999999996</v>
      </c>
      <c r="G19" s="12">
        <v>0</v>
      </c>
      <c r="H19" s="161">
        <v>0</v>
      </c>
      <c r="M19" s="256" t="s">
        <v>161</v>
      </c>
      <c r="N19" s="375" t="s">
        <v>162</v>
      </c>
      <c r="O19" s="376"/>
      <c r="P19" s="376"/>
      <c r="Q19" s="376"/>
      <c r="R19" s="376"/>
    </row>
    <row r="20" spans="2:25">
      <c r="B20" s="139">
        <v>44712</v>
      </c>
      <c r="C20" s="12">
        <v>0.79520000000000002</v>
      </c>
      <c r="D20" s="12">
        <v>1.5900000000000001E-2</v>
      </c>
      <c r="E20" s="12">
        <v>2.3900000000000001E-2</v>
      </c>
      <c r="F20" s="251">
        <f t="shared" si="0"/>
        <v>0.83499999999999996</v>
      </c>
      <c r="G20" s="12">
        <v>0</v>
      </c>
      <c r="H20" s="161">
        <v>0</v>
      </c>
      <c r="M20" s="259" t="s">
        <v>163</v>
      </c>
      <c r="N20" s="258" t="s">
        <v>164</v>
      </c>
    </row>
    <row r="21" spans="2:25">
      <c r="B21" s="139">
        <v>44742</v>
      </c>
      <c r="C21" s="12">
        <v>0.79520000000000002</v>
      </c>
      <c r="D21" s="12">
        <v>1.5900000000000001E-2</v>
      </c>
      <c r="E21" s="12">
        <v>2.3900000000000001E-2</v>
      </c>
      <c r="F21" s="251">
        <f t="shared" si="0"/>
        <v>0.83499999999999996</v>
      </c>
      <c r="G21" s="12">
        <v>0</v>
      </c>
      <c r="H21" s="161">
        <v>0</v>
      </c>
      <c r="M21" s="256" t="s">
        <v>165</v>
      </c>
      <c r="N21" s="377" t="s">
        <v>166</v>
      </c>
      <c r="O21" s="376"/>
      <c r="P21" s="376"/>
      <c r="Q21" s="376"/>
      <c r="R21" s="376"/>
    </row>
    <row r="22" spans="2:25">
      <c r="B22" s="139">
        <v>44773</v>
      </c>
      <c r="C22" s="12">
        <v>0.79520000000000002</v>
      </c>
      <c r="D22" s="12">
        <v>1.5900000000000001E-2</v>
      </c>
      <c r="E22" s="12">
        <v>2.3900000000000001E-2</v>
      </c>
      <c r="F22" s="251">
        <f t="shared" si="0"/>
        <v>0.83499999999999996</v>
      </c>
      <c r="G22" s="12">
        <v>0</v>
      </c>
      <c r="H22" s="161">
        <v>0</v>
      </c>
    </row>
    <row r="23" spans="2:25" ht="15">
      <c r="B23" s="139">
        <v>44804</v>
      </c>
      <c r="C23" s="12">
        <v>0.79520000000000002</v>
      </c>
      <c r="D23" s="12">
        <v>1.5900000000000001E-2</v>
      </c>
      <c r="E23" s="12">
        <v>2.3900000000000001E-2</v>
      </c>
      <c r="F23" s="251">
        <f t="shared" si="0"/>
        <v>0.83499999999999996</v>
      </c>
      <c r="G23" s="12">
        <v>0</v>
      </c>
      <c r="H23" s="161">
        <v>0</v>
      </c>
      <c r="N23" s="378" t="s">
        <v>167</v>
      </c>
      <c r="O23" s="379"/>
      <c r="P23" s="379"/>
      <c r="Q23" s="379"/>
      <c r="R23" s="379"/>
      <c r="S23" s="379"/>
      <c r="T23" s="379"/>
      <c r="U23" s="379"/>
      <c r="V23" s="379"/>
      <c r="W23" s="379"/>
      <c r="X23" s="379"/>
      <c r="Y23" s="380"/>
    </row>
    <row r="24" spans="2:25" ht="14.5">
      <c r="B24" s="139">
        <v>44834</v>
      </c>
      <c r="C24" s="12">
        <v>1.0068999999999999</v>
      </c>
      <c r="D24" s="12">
        <v>2.01E-2</v>
      </c>
      <c r="E24" s="12">
        <v>3.0200000000000001E-2</v>
      </c>
      <c r="F24" s="251">
        <f t="shared" si="0"/>
        <v>1.0571999999999999</v>
      </c>
      <c r="G24" s="12">
        <v>0</v>
      </c>
      <c r="H24" s="161">
        <v>0</v>
      </c>
      <c r="M24" s="260" t="s">
        <v>168</v>
      </c>
      <c r="N24" s="261" t="s">
        <v>169</v>
      </c>
      <c r="O24" s="261" t="s">
        <v>61</v>
      </c>
      <c r="P24" s="261" t="s">
        <v>68</v>
      </c>
      <c r="Q24" s="261" t="s">
        <v>170</v>
      </c>
      <c r="R24" s="261" t="s">
        <v>32</v>
      </c>
      <c r="S24" s="261" t="s">
        <v>76</v>
      </c>
      <c r="T24" s="261" t="s">
        <v>171</v>
      </c>
      <c r="U24" s="261" t="s">
        <v>172</v>
      </c>
      <c r="V24" s="261" t="s">
        <v>173</v>
      </c>
      <c r="W24" s="261" t="s">
        <v>52</v>
      </c>
      <c r="X24" s="261" t="s">
        <v>174</v>
      </c>
      <c r="Y24" s="261" t="s">
        <v>44</v>
      </c>
    </row>
    <row r="25" spans="2:25" ht="14.5">
      <c r="B25" s="139">
        <v>44865</v>
      </c>
      <c r="C25" s="12">
        <v>1.0068999999999999</v>
      </c>
      <c r="D25" s="12">
        <v>2.01E-2</v>
      </c>
      <c r="E25" s="12">
        <v>3.0200000000000001E-2</v>
      </c>
      <c r="F25" s="251">
        <f t="shared" si="0"/>
        <v>1.0571999999999999</v>
      </c>
      <c r="G25" s="12">
        <v>0</v>
      </c>
      <c r="H25" s="161">
        <v>0</v>
      </c>
      <c r="M25" s="262">
        <v>2010</v>
      </c>
      <c r="N25" s="263">
        <v>216.68700000000001</v>
      </c>
      <c r="O25" s="263">
        <v>216.74100000000001</v>
      </c>
      <c r="P25" s="263">
        <v>217.631</v>
      </c>
      <c r="Q25" s="263">
        <v>218.00899999999999</v>
      </c>
      <c r="R25" s="263">
        <v>218.178</v>
      </c>
      <c r="S25" s="263">
        <v>217.965</v>
      </c>
      <c r="T25" s="263">
        <v>218.011</v>
      </c>
      <c r="U25" s="263">
        <v>218.31200000000001</v>
      </c>
      <c r="V25" s="263">
        <v>218.43899999999999</v>
      </c>
      <c r="W25" s="263">
        <v>218.71100000000001</v>
      </c>
      <c r="X25" s="263">
        <v>218.803</v>
      </c>
      <c r="Y25" s="263">
        <v>219.179</v>
      </c>
    </row>
    <row r="26" spans="2:25" ht="14.5">
      <c r="B26" s="139">
        <v>44895</v>
      </c>
      <c r="C26" s="12">
        <v>1.0068999999999999</v>
      </c>
      <c r="D26" s="12">
        <v>2.01E-2</v>
      </c>
      <c r="E26" s="12">
        <v>3.0200000000000001E-2</v>
      </c>
      <c r="F26" s="251">
        <f t="shared" si="0"/>
        <v>1.0571999999999999</v>
      </c>
      <c r="G26" s="12">
        <v>0</v>
      </c>
      <c r="H26" s="161">
        <v>0</v>
      </c>
      <c r="M26" s="262">
        <v>2011</v>
      </c>
      <c r="N26" s="263">
        <v>220.22300000000001</v>
      </c>
      <c r="O26" s="263">
        <v>221.309</v>
      </c>
      <c r="P26" s="263">
        <v>223.46700000000001</v>
      </c>
      <c r="Q26" s="263">
        <v>224.90600000000001</v>
      </c>
      <c r="R26" s="263">
        <v>225.964</v>
      </c>
      <c r="S26" s="263">
        <v>225.72200000000001</v>
      </c>
      <c r="T26" s="263">
        <v>225.922</v>
      </c>
      <c r="U26" s="263">
        <v>226.54499999999999</v>
      </c>
      <c r="V26" s="263">
        <v>226.88900000000001</v>
      </c>
      <c r="W26" s="263">
        <v>226.42099999999999</v>
      </c>
      <c r="X26" s="263">
        <v>226.23</v>
      </c>
      <c r="Y26" s="263">
        <v>225.672</v>
      </c>
    </row>
    <row r="27" spans="2:25" ht="14.5">
      <c r="B27" s="141">
        <v>44926</v>
      </c>
      <c r="C27" s="23">
        <v>1.0068999999999999</v>
      </c>
      <c r="D27" s="23">
        <v>2.01E-2</v>
      </c>
      <c r="E27" s="23">
        <v>3.0200000000000001E-2</v>
      </c>
      <c r="F27" s="252">
        <f t="shared" si="0"/>
        <v>1.0571999999999999</v>
      </c>
      <c r="G27" s="23">
        <v>0</v>
      </c>
      <c r="H27" s="162">
        <v>0</v>
      </c>
      <c r="M27" s="262">
        <v>2012</v>
      </c>
      <c r="N27" s="263">
        <v>226.66499999999999</v>
      </c>
      <c r="O27" s="263">
        <v>227.66300000000001</v>
      </c>
      <c r="P27" s="263">
        <v>229.392</v>
      </c>
      <c r="Q27" s="263">
        <v>230.08500000000001</v>
      </c>
      <c r="R27" s="263">
        <v>229.815</v>
      </c>
      <c r="S27" s="263">
        <v>229.47800000000001</v>
      </c>
      <c r="T27" s="263">
        <v>229.10400000000001</v>
      </c>
      <c r="U27" s="263">
        <v>230.37899999999999</v>
      </c>
      <c r="V27" s="263">
        <v>231.40700000000001</v>
      </c>
      <c r="W27" s="263">
        <v>231.31700000000001</v>
      </c>
      <c r="X27" s="263">
        <v>230.221</v>
      </c>
      <c r="Y27" s="263">
        <v>229.601</v>
      </c>
    </row>
    <row r="28" spans="2:25" ht="14.5">
      <c r="B28" s="137">
        <v>44957</v>
      </c>
      <c r="C28" s="143">
        <v>1.0068999999999999</v>
      </c>
      <c r="D28" s="143">
        <v>2.01E-2</v>
      </c>
      <c r="E28" s="143">
        <v>3.0200000000000001E-2</v>
      </c>
      <c r="F28" s="144">
        <f t="shared" si="0"/>
        <v>1.0571999999999999</v>
      </c>
      <c r="G28" s="143"/>
      <c r="H28" s="163"/>
      <c r="M28" s="262">
        <v>2013</v>
      </c>
      <c r="N28" s="263">
        <v>230.28</v>
      </c>
      <c r="O28" s="263">
        <v>232.166</v>
      </c>
      <c r="P28" s="263">
        <v>232.773</v>
      </c>
      <c r="Q28" s="263">
        <v>232.53100000000001</v>
      </c>
      <c r="R28" s="263">
        <v>232.94499999999999</v>
      </c>
      <c r="S28" s="263">
        <v>233.50399999999999</v>
      </c>
      <c r="T28" s="263">
        <v>233.596</v>
      </c>
      <c r="U28" s="263">
        <v>233.87700000000001</v>
      </c>
      <c r="V28" s="263">
        <v>234.149</v>
      </c>
      <c r="W28" s="263">
        <v>233.54599999999999</v>
      </c>
      <c r="X28" s="263">
        <v>233.06899999999999</v>
      </c>
      <c r="Y28" s="263">
        <v>233.04900000000001</v>
      </c>
    </row>
    <row r="29" spans="2:25" ht="14.5">
      <c r="B29" s="139">
        <v>44985</v>
      </c>
      <c r="C29" s="106">
        <v>1.3085</v>
      </c>
      <c r="D29" s="106">
        <v>2.6200000000000001E-2</v>
      </c>
      <c r="E29" s="106">
        <v>3.9300000000000002E-2</v>
      </c>
      <c r="F29" s="145">
        <f t="shared" si="0"/>
        <v>1.3740000000000001</v>
      </c>
      <c r="G29" s="106"/>
      <c r="H29" s="165"/>
      <c r="M29" s="262">
        <v>2014</v>
      </c>
      <c r="N29" s="263">
        <v>233.916</v>
      </c>
      <c r="O29" s="263">
        <v>234.78100000000001</v>
      </c>
      <c r="P29" s="263">
        <v>236.29300000000001</v>
      </c>
      <c r="Q29" s="263">
        <v>237.072</v>
      </c>
      <c r="R29" s="263">
        <v>237.9</v>
      </c>
      <c r="S29" s="263">
        <v>238.34299999999999</v>
      </c>
      <c r="T29" s="263">
        <v>238.25</v>
      </c>
      <c r="U29" s="263">
        <v>237.852</v>
      </c>
      <c r="V29" s="263">
        <v>238.03100000000001</v>
      </c>
      <c r="W29" s="263">
        <v>237.43299999999999</v>
      </c>
      <c r="X29" s="263">
        <v>236.15100000000001</v>
      </c>
      <c r="Y29" s="263">
        <v>234.81200000000001</v>
      </c>
    </row>
    <row r="30" spans="2:25" ht="14.5">
      <c r="B30" s="139">
        <v>45016</v>
      </c>
      <c r="C30" s="106">
        <v>1.3085</v>
      </c>
      <c r="D30" s="106">
        <v>2.6200000000000001E-2</v>
      </c>
      <c r="E30" s="106">
        <v>3.9300000000000002E-2</v>
      </c>
      <c r="F30" s="145">
        <f t="shared" si="0"/>
        <v>1.3740000000000001</v>
      </c>
      <c r="G30" s="106"/>
      <c r="H30" s="165"/>
      <c r="M30" s="262">
        <v>2015</v>
      </c>
      <c r="N30" s="263">
        <v>233.70699999999999</v>
      </c>
      <c r="O30" s="263">
        <v>234.72200000000001</v>
      </c>
      <c r="P30" s="263">
        <v>236.119</v>
      </c>
      <c r="Q30" s="263">
        <v>236.59899999999999</v>
      </c>
      <c r="R30" s="263">
        <v>237.80500000000001</v>
      </c>
      <c r="S30" s="263">
        <v>238.63800000000001</v>
      </c>
      <c r="T30" s="263">
        <v>238.654</v>
      </c>
      <c r="U30" s="263">
        <v>238.316</v>
      </c>
      <c r="V30" s="263">
        <v>237.94499999999999</v>
      </c>
      <c r="W30" s="263">
        <v>237.83799999999999</v>
      </c>
      <c r="X30" s="263">
        <v>237.33600000000001</v>
      </c>
      <c r="Y30" s="263">
        <v>236.52500000000001</v>
      </c>
    </row>
    <row r="31" spans="2:25" ht="14.5">
      <c r="B31" s="139">
        <v>45046</v>
      </c>
      <c r="C31" s="106">
        <v>1.3085</v>
      </c>
      <c r="D31" s="106">
        <v>2.6200000000000001E-2</v>
      </c>
      <c r="E31" s="106">
        <v>3.9300000000000002E-2</v>
      </c>
      <c r="F31" s="145">
        <f t="shared" si="0"/>
        <v>1.3740000000000001</v>
      </c>
      <c r="G31" s="106"/>
      <c r="H31" s="165"/>
      <c r="M31" s="262">
        <v>2016</v>
      </c>
      <c r="N31" s="263">
        <v>236.916</v>
      </c>
      <c r="O31" s="263">
        <v>237.11099999999999</v>
      </c>
      <c r="P31" s="263">
        <v>238.13200000000001</v>
      </c>
      <c r="Q31" s="263">
        <v>239.261</v>
      </c>
      <c r="R31" s="263">
        <v>240.22900000000001</v>
      </c>
      <c r="S31" s="263">
        <v>241.018</v>
      </c>
      <c r="T31" s="263">
        <v>240.62799999999999</v>
      </c>
      <c r="U31" s="263">
        <v>240.84899999999999</v>
      </c>
      <c r="V31" s="263">
        <v>241.428</v>
      </c>
      <c r="W31" s="263">
        <v>241.72900000000001</v>
      </c>
      <c r="X31" s="263">
        <v>241.35300000000001</v>
      </c>
      <c r="Y31" s="263">
        <v>241.43199999999999</v>
      </c>
    </row>
    <row r="32" spans="2:25" ht="14.5">
      <c r="B32" s="139">
        <v>45077</v>
      </c>
      <c r="C32" s="106">
        <v>1.3085</v>
      </c>
      <c r="D32" s="106">
        <v>2.6200000000000001E-2</v>
      </c>
      <c r="E32" s="106">
        <v>3.9300000000000002E-2</v>
      </c>
      <c r="F32" s="145">
        <f t="shared" si="0"/>
        <v>1.3740000000000001</v>
      </c>
      <c r="G32" s="106"/>
      <c r="H32" s="165"/>
      <c r="M32" s="262">
        <v>2017</v>
      </c>
      <c r="N32" s="263">
        <v>242.839</v>
      </c>
      <c r="O32" s="263">
        <v>243.60300000000001</v>
      </c>
      <c r="P32" s="263">
        <v>243.80099999999999</v>
      </c>
      <c r="Q32" s="263">
        <v>244.524</v>
      </c>
      <c r="R32" s="263">
        <v>244.733</v>
      </c>
      <c r="S32" s="263">
        <v>244.95500000000001</v>
      </c>
      <c r="T32" s="263">
        <v>244.786</v>
      </c>
      <c r="U32" s="263">
        <v>245.51900000000001</v>
      </c>
      <c r="V32" s="263">
        <v>246.81899999999999</v>
      </c>
      <c r="W32" s="263">
        <v>246.66300000000001</v>
      </c>
      <c r="X32" s="263">
        <v>246.66900000000001</v>
      </c>
      <c r="Y32" s="263">
        <v>246.524</v>
      </c>
    </row>
    <row r="33" spans="2:25" ht="14.5">
      <c r="B33" s="139">
        <v>45107</v>
      </c>
      <c r="C33" s="106">
        <v>1.5488</v>
      </c>
      <c r="D33" s="106">
        <v>3.1E-2</v>
      </c>
      <c r="E33" s="106">
        <v>4.65E-2</v>
      </c>
      <c r="F33" s="145">
        <f t="shared" si="0"/>
        <v>1.6263000000000001</v>
      </c>
      <c r="G33" s="106"/>
      <c r="H33" s="165"/>
      <c r="M33" s="262">
        <v>2018</v>
      </c>
      <c r="N33" s="263">
        <v>247.86699999999999</v>
      </c>
      <c r="O33" s="263">
        <v>248.99100000000001</v>
      </c>
      <c r="P33" s="263">
        <v>249.554</v>
      </c>
      <c r="Q33" s="263">
        <v>250.54599999999999</v>
      </c>
      <c r="R33" s="263">
        <v>251.58799999999999</v>
      </c>
      <c r="S33" s="263">
        <v>251.989</v>
      </c>
      <c r="T33" s="263">
        <v>252.006</v>
      </c>
      <c r="U33" s="263">
        <v>252.14599999999999</v>
      </c>
      <c r="V33" s="263">
        <v>252.43899999999999</v>
      </c>
      <c r="W33" s="263">
        <v>252.88499999999999</v>
      </c>
      <c r="X33" s="263">
        <v>252.03800000000001</v>
      </c>
      <c r="Y33" s="263">
        <v>251.233</v>
      </c>
    </row>
    <row r="34" spans="2:25" ht="14.5">
      <c r="B34" s="139">
        <v>45138</v>
      </c>
      <c r="C34" s="26">
        <v>1.5488</v>
      </c>
      <c r="D34" s="26">
        <v>3.1E-2</v>
      </c>
      <c r="E34" s="26">
        <v>4.65E-2</v>
      </c>
      <c r="F34" s="145">
        <f t="shared" si="0"/>
        <v>1.6263000000000001</v>
      </c>
      <c r="G34" s="106"/>
      <c r="H34" s="165"/>
      <c r="M34" s="262">
        <v>2019</v>
      </c>
      <c r="N34" s="263">
        <v>251.71199999999999</v>
      </c>
      <c r="O34" s="263">
        <v>252.77600000000001</v>
      </c>
      <c r="P34" s="263">
        <v>254.202</v>
      </c>
      <c r="Q34" s="263">
        <v>255.548</v>
      </c>
      <c r="R34" s="263">
        <v>256.09199999999998</v>
      </c>
      <c r="S34" s="263">
        <v>256.14299999999997</v>
      </c>
      <c r="T34" s="263">
        <v>256.57100000000003</v>
      </c>
      <c r="U34" s="263">
        <v>256.55799999999999</v>
      </c>
      <c r="V34" s="263">
        <v>256.75900000000001</v>
      </c>
      <c r="W34" s="263">
        <v>257.346</v>
      </c>
      <c r="X34" s="263">
        <v>257.20800000000003</v>
      </c>
      <c r="Y34" s="263">
        <v>256.97399999999999</v>
      </c>
    </row>
    <row r="35" spans="2:25" ht="14.5">
      <c r="B35" s="139">
        <v>45169</v>
      </c>
      <c r="C35" s="106">
        <v>1.5488</v>
      </c>
      <c r="D35" s="106">
        <v>3.1E-2</v>
      </c>
      <c r="E35" s="106">
        <v>4.65E-2</v>
      </c>
      <c r="F35" s="145">
        <f t="shared" si="0"/>
        <v>1.6263000000000001</v>
      </c>
      <c r="G35" s="106"/>
      <c r="H35" s="165"/>
      <c r="M35" s="262">
        <v>2020</v>
      </c>
      <c r="N35" s="263">
        <v>257.971</v>
      </c>
      <c r="O35" s="263">
        <v>258.678</v>
      </c>
      <c r="P35" s="263">
        <v>258.11500000000001</v>
      </c>
      <c r="Q35" s="263">
        <v>256.38900000000001</v>
      </c>
      <c r="R35" s="263">
        <v>256.39400000000001</v>
      </c>
      <c r="S35">
        <v>257.79700000000003</v>
      </c>
      <c r="T35">
        <v>259.101</v>
      </c>
      <c r="U35">
        <v>259.91800000000001</v>
      </c>
      <c r="V35">
        <v>260.27999999999997</v>
      </c>
      <c r="W35">
        <v>260.38799999999998</v>
      </c>
      <c r="X35">
        <v>260.22899999999998</v>
      </c>
      <c r="Y35">
        <v>260.47399999999999</v>
      </c>
    </row>
    <row r="36" spans="2:25" ht="14.5">
      <c r="B36" s="139">
        <v>45199</v>
      </c>
      <c r="C36" s="106">
        <v>1.5488</v>
      </c>
      <c r="D36" s="106">
        <v>3.1E-2</v>
      </c>
      <c r="E36" s="106">
        <v>4.65E-2</v>
      </c>
      <c r="F36" s="145">
        <f t="shared" si="0"/>
        <v>1.6263000000000001</v>
      </c>
      <c r="G36" s="106"/>
      <c r="H36" s="165"/>
      <c r="M36" s="262">
        <v>2021</v>
      </c>
      <c r="N36">
        <v>261.58199999999999</v>
      </c>
      <c r="O36">
        <v>263.01400000000001</v>
      </c>
      <c r="P36">
        <v>264.87700000000001</v>
      </c>
      <c r="Q36">
        <v>267.05399999999997</v>
      </c>
      <c r="R36">
        <v>269.19499999999999</v>
      </c>
      <c r="S36">
        <v>271.69600000000003</v>
      </c>
      <c r="T36">
        <v>273.00299999999999</v>
      </c>
      <c r="U36">
        <v>273.56700000000001</v>
      </c>
      <c r="V36">
        <v>274.31</v>
      </c>
      <c r="W36">
        <v>276.589</v>
      </c>
      <c r="X36">
        <v>277.94799999999998</v>
      </c>
      <c r="Y36">
        <v>278.80200000000002</v>
      </c>
    </row>
    <row r="37" spans="2:25" ht="14.5">
      <c r="B37" s="139">
        <v>45230</v>
      </c>
      <c r="C37" s="106">
        <v>1.5488</v>
      </c>
      <c r="D37" s="106">
        <v>3.1E-2</v>
      </c>
      <c r="E37" s="106">
        <v>4.65E-2</v>
      </c>
      <c r="F37" s="145">
        <f t="shared" si="0"/>
        <v>1.6263000000000001</v>
      </c>
      <c r="G37" s="106"/>
      <c r="H37" s="165"/>
      <c r="M37" s="262">
        <v>2022</v>
      </c>
      <c r="N37">
        <v>281.149</v>
      </c>
      <c r="O37">
        <v>283.71600000000001</v>
      </c>
      <c r="P37">
        <v>287.50400000000002</v>
      </c>
      <c r="Q37" s="273">
        <v>289.10899999999998</v>
      </c>
      <c r="R37" s="273">
        <v>292.29599999999999</v>
      </c>
      <c r="S37">
        <v>296.31099999999998</v>
      </c>
      <c r="T37">
        <v>296.27600000000001</v>
      </c>
      <c r="U37">
        <v>296.17099999999999</v>
      </c>
      <c r="V37">
        <v>296.80799999999999</v>
      </c>
      <c r="W37">
        <v>298.012</v>
      </c>
      <c r="X37">
        <v>297.71100000000001</v>
      </c>
      <c r="Y37">
        <v>296.79700000000003</v>
      </c>
    </row>
    <row r="38" spans="2:25" ht="14.5">
      <c r="B38" s="139">
        <v>45260</v>
      </c>
      <c r="C38" s="106">
        <v>1.5488</v>
      </c>
      <c r="D38" s="106">
        <v>3.1E-2</v>
      </c>
      <c r="E38" s="106">
        <v>4.65E-2</v>
      </c>
      <c r="F38" s="145">
        <f t="shared" si="0"/>
        <v>1.6263000000000001</v>
      </c>
      <c r="G38" s="106"/>
      <c r="H38" s="165"/>
      <c r="M38" s="262">
        <v>2023</v>
      </c>
      <c r="N38" s="264">
        <v>299.17</v>
      </c>
      <c r="O38" s="264">
        <v>300.83999999999997</v>
      </c>
      <c r="P38">
        <v>301.83600000000001</v>
      </c>
      <c r="Q38">
        <v>303.363</v>
      </c>
      <c r="R38">
        <v>304.12700000000001</v>
      </c>
      <c r="S38">
        <v>305.10899999999998</v>
      </c>
      <c r="T38">
        <v>305.69099999999997</v>
      </c>
      <c r="U38">
        <v>307.02600000000001</v>
      </c>
      <c r="V38">
        <v>307.78899999999999</v>
      </c>
      <c r="W38">
        <v>307.67099999999999</v>
      </c>
      <c r="X38">
        <v>307.05099999999999</v>
      </c>
      <c r="Y38">
        <v>306.74599999999998</v>
      </c>
    </row>
    <row r="39" spans="2:25" ht="14.5">
      <c r="B39" s="141">
        <v>45291</v>
      </c>
      <c r="C39" s="146">
        <v>1.5251999999999999</v>
      </c>
      <c r="D39" s="146">
        <v>3.0499999999999999E-2</v>
      </c>
      <c r="E39" s="146">
        <v>4.58E-2</v>
      </c>
      <c r="F39" s="147">
        <f t="shared" si="0"/>
        <v>1.6014999999999999</v>
      </c>
      <c r="G39" s="146"/>
      <c r="H39" s="166"/>
      <c r="M39" s="262">
        <v>2024</v>
      </c>
      <c r="N39">
        <v>308.41699999999997</v>
      </c>
      <c r="O39">
        <v>310.32600000000002</v>
      </c>
      <c r="P39">
        <v>312.33199999999999</v>
      </c>
      <c r="Q39">
        <v>313.548</v>
      </c>
      <c r="R39">
        <v>314.06900000000002</v>
      </c>
      <c r="S39">
        <v>314.17500000000001</v>
      </c>
      <c r="T39" s="264">
        <v>314.54000000000002</v>
      </c>
      <c r="U39">
        <v>314.79599999999999</v>
      </c>
      <c r="V39">
        <v>315.30099999999999</v>
      </c>
      <c r="W39">
        <v>315.66399999999999</v>
      </c>
      <c r="X39">
        <v>315.49299999999999</v>
      </c>
      <c r="Y39" s="274">
        <v>315.60500000000002</v>
      </c>
    </row>
    <row r="40" spans="2:25" ht="14.5">
      <c r="B40" s="101">
        <v>45322</v>
      </c>
      <c r="C40" s="148">
        <v>1.5251999999999999</v>
      </c>
      <c r="D40" s="148">
        <v>3.0499999999999999E-2</v>
      </c>
      <c r="E40" s="148">
        <v>4.58E-2</v>
      </c>
      <c r="F40" s="149">
        <f t="shared" si="0"/>
        <v>1.6014999999999999</v>
      </c>
      <c r="G40" s="148"/>
      <c r="H40" s="167"/>
      <c r="I40" s="265" t="s">
        <v>118</v>
      </c>
      <c r="J40" s="266"/>
      <c r="M40" s="262">
        <v>2025</v>
      </c>
      <c r="N40">
        <v>317.67099999999999</v>
      </c>
      <c r="O40">
        <v>319.08199999999999</v>
      </c>
      <c r="P40">
        <v>319.79899999999998</v>
      </c>
      <c r="Q40">
        <v>320.79500000000002</v>
      </c>
      <c r="R40">
        <v>321.46499999999997</v>
      </c>
      <c r="S40">
        <v>322.56099999999998</v>
      </c>
      <c r="T40" s="264">
        <v>323.048</v>
      </c>
      <c r="U40">
        <v>323.976</v>
      </c>
      <c r="V40">
        <v>324.8</v>
      </c>
      <c r="W40">
        <f>AVERAGE(U40:V40)</f>
        <v>324.38799999999998</v>
      </c>
      <c r="X40">
        <v>324.12200000000001</v>
      </c>
      <c r="Y40" s="274">
        <v>324.05399999999997</v>
      </c>
    </row>
    <row r="41" spans="2:25" ht="14.5">
      <c r="B41" s="15">
        <v>45351</v>
      </c>
      <c r="C41" s="150">
        <v>1.5251999999999999</v>
      </c>
      <c r="D41" s="150">
        <v>3.0499999999999999E-2</v>
      </c>
      <c r="E41" s="150">
        <v>4.58E-2</v>
      </c>
      <c r="F41" s="151">
        <f t="shared" si="0"/>
        <v>1.6014999999999999</v>
      </c>
      <c r="G41" s="150"/>
      <c r="H41" s="168"/>
      <c r="I41" s="265" t="s">
        <v>118</v>
      </c>
      <c r="J41" s="266"/>
      <c r="M41" s="267">
        <v>2026</v>
      </c>
      <c r="N41" s="268"/>
      <c r="O41" s="268"/>
      <c r="P41" s="268"/>
      <c r="Q41" s="268"/>
      <c r="R41" s="268"/>
      <c r="S41" s="268"/>
      <c r="T41" s="268"/>
      <c r="U41" s="268"/>
      <c r="V41" s="268"/>
      <c r="W41" s="268"/>
      <c r="X41" s="268"/>
      <c r="Y41" s="268"/>
    </row>
    <row r="42" spans="2:25" ht="14.5">
      <c r="B42" s="15">
        <v>45382</v>
      </c>
      <c r="C42" s="150">
        <v>1.5251999999999999</v>
      </c>
      <c r="D42" s="150">
        <v>3.0499999999999999E-2</v>
      </c>
      <c r="E42" s="150">
        <v>4.58E-2</v>
      </c>
      <c r="F42" s="151">
        <f t="shared" si="0"/>
        <v>1.6014999999999999</v>
      </c>
      <c r="G42" s="150"/>
      <c r="H42" s="168"/>
      <c r="I42" s="265" t="s">
        <v>118</v>
      </c>
      <c r="J42" s="266"/>
      <c r="M42" s="269"/>
      <c r="N42" s="270"/>
      <c r="O42" s="270"/>
      <c r="P42" s="270"/>
      <c r="Q42" s="270"/>
      <c r="R42" s="270"/>
      <c r="S42" s="270"/>
      <c r="T42" s="270"/>
      <c r="U42" s="270"/>
      <c r="V42" s="270"/>
      <c r="W42" s="270"/>
      <c r="X42" s="270"/>
      <c r="Y42" s="270"/>
    </row>
    <row r="43" spans="2:25" ht="14.5">
      <c r="B43" s="15">
        <v>45412</v>
      </c>
      <c r="C43" s="150">
        <v>1.5251999999999999</v>
      </c>
      <c r="D43" s="150">
        <v>3.0499999999999999E-2</v>
      </c>
      <c r="E43" s="150">
        <v>4.58E-2</v>
      </c>
      <c r="F43" s="151">
        <f t="shared" si="0"/>
        <v>1.6014999999999999</v>
      </c>
      <c r="G43" s="150"/>
      <c r="H43" s="168"/>
      <c r="I43" s="265" t="s">
        <v>118</v>
      </c>
      <c r="J43" s="266"/>
      <c r="M43" s="269"/>
      <c r="N43" s="270"/>
      <c r="O43" s="270"/>
      <c r="P43" s="270"/>
      <c r="Q43" s="270"/>
      <c r="R43" s="270"/>
      <c r="S43" s="270"/>
      <c r="T43" s="270"/>
      <c r="U43" s="270"/>
      <c r="V43" s="270"/>
      <c r="W43" s="270"/>
      <c r="X43" s="270"/>
      <c r="Y43" s="270"/>
    </row>
    <row r="44" spans="2:25" ht="14.5">
      <c r="B44" s="15">
        <v>45443</v>
      </c>
      <c r="C44" s="150">
        <v>1.5251999999999999</v>
      </c>
      <c r="D44" s="150">
        <v>3.0499999999999999E-2</v>
      </c>
      <c r="E44" s="150">
        <v>4.58E-2</v>
      </c>
      <c r="F44" s="151">
        <f t="shared" ref="F44:F63" si="1">SUM(C44:E44)</f>
        <v>1.6014999999999999</v>
      </c>
      <c r="G44" s="150"/>
      <c r="H44" s="168"/>
      <c r="I44" s="265" t="s">
        <v>118</v>
      </c>
      <c r="J44" s="266"/>
      <c r="M44" s="269"/>
      <c r="N44" s="270"/>
      <c r="O44" s="270"/>
      <c r="P44" s="270"/>
      <c r="Q44" s="270"/>
      <c r="R44" s="270"/>
      <c r="S44" s="270"/>
      <c r="T44" s="270"/>
      <c r="U44" s="270"/>
      <c r="V44" s="270"/>
      <c r="W44" s="270"/>
      <c r="X44" s="270"/>
      <c r="Y44" s="270"/>
    </row>
    <row r="45" spans="2:25" ht="14.5">
      <c r="B45" s="15">
        <v>45473</v>
      </c>
      <c r="C45" s="150">
        <v>1.5251999999999999</v>
      </c>
      <c r="D45" s="150">
        <v>3.0499999999999999E-2</v>
      </c>
      <c r="E45" s="150">
        <v>4.58E-2</v>
      </c>
      <c r="F45" s="151">
        <f t="shared" si="1"/>
        <v>1.6014999999999999</v>
      </c>
      <c r="G45" s="150"/>
      <c r="H45" s="168"/>
      <c r="I45" s="265" t="s">
        <v>118</v>
      </c>
      <c r="J45" s="266"/>
      <c r="M45" s="269"/>
      <c r="N45" s="270"/>
      <c r="O45" s="270"/>
      <c r="P45" s="270"/>
      <c r="Q45" s="270"/>
      <c r="R45" s="270"/>
      <c r="S45" s="270"/>
      <c r="T45" s="270"/>
      <c r="U45" s="270"/>
      <c r="V45" s="270"/>
      <c r="W45" s="270"/>
      <c r="X45" s="270"/>
      <c r="Y45" s="270"/>
    </row>
    <row r="46" spans="2:25" ht="14.5">
      <c r="B46" s="15">
        <v>45504</v>
      </c>
      <c r="C46" s="150">
        <v>1.6001000000000001</v>
      </c>
      <c r="D46" s="150">
        <v>3.2000000000000001E-2</v>
      </c>
      <c r="E46" s="150">
        <v>4.8000000000000001E-2</v>
      </c>
      <c r="F46" s="151">
        <f t="shared" si="1"/>
        <v>1.6800999999999999</v>
      </c>
      <c r="G46" s="150"/>
      <c r="H46" s="168"/>
      <c r="I46" s="265" t="s">
        <v>118</v>
      </c>
      <c r="J46" s="266"/>
      <c r="M46" s="269"/>
      <c r="N46" s="270"/>
      <c r="O46" s="270"/>
      <c r="P46" s="270"/>
      <c r="Q46" s="270"/>
      <c r="R46" s="270"/>
      <c r="S46" s="270"/>
      <c r="T46" s="270"/>
      <c r="U46" s="270"/>
      <c r="V46" s="270"/>
      <c r="W46" s="270"/>
      <c r="X46" s="270"/>
      <c r="Y46" s="270"/>
    </row>
    <row r="47" spans="2:25" ht="14.5">
      <c r="B47" s="15">
        <v>45535</v>
      </c>
      <c r="C47" s="150">
        <v>1.6001000000000001</v>
      </c>
      <c r="D47" s="150">
        <v>3.2000000000000001E-2</v>
      </c>
      <c r="E47" s="150">
        <v>4.8000000000000001E-2</v>
      </c>
      <c r="F47" s="151">
        <f t="shared" si="1"/>
        <v>1.6800999999999999</v>
      </c>
      <c r="G47" s="150"/>
      <c r="H47" s="168"/>
      <c r="I47" s="265" t="s">
        <v>118</v>
      </c>
      <c r="J47" s="266"/>
      <c r="M47" s="269"/>
      <c r="N47" s="270"/>
      <c r="O47" s="270"/>
      <c r="P47" s="270"/>
      <c r="Q47" s="270"/>
      <c r="R47" s="270"/>
      <c r="S47" s="270"/>
      <c r="T47" s="270"/>
      <c r="U47" s="270"/>
      <c r="V47" s="270"/>
      <c r="W47" s="270"/>
      <c r="X47" s="270"/>
      <c r="Y47" s="270"/>
    </row>
    <row r="48" spans="2:25" ht="14.5">
      <c r="B48" s="15">
        <v>45565</v>
      </c>
      <c r="C48" s="150">
        <v>1.6001000000000001</v>
      </c>
      <c r="D48" s="150">
        <v>3.2000000000000001E-2</v>
      </c>
      <c r="E48" s="150">
        <v>4.8000000000000001E-2</v>
      </c>
      <c r="F48" s="151">
        <f t="shared" si="1"/>
        <v>1.6800999999999999</v>
      </c>
      <c r="G48" s="150"/>
      <c r="H48" s="168"/>
      <c r="I48" s="265" t="s">
        <v>118</v>
      </c>
      <c r="J48" s="266"/>
      <c r="M48" s="269"/>
      <c r="N48" s="270"/>
      <c r="O48" s="270"/>
      <c r="P48" s="270"/>
      <c r="Q48" s="270"/>
      <c r="R48" s="270"/>
      <c r="S48" s="270"/>
      <c r="T48" s="270"/>
      <c r="U48" s="270"/>
      <c r="V48" s="270"/>
      <c r="W48" s="270"/>
      <c r="X48" s="270"/>
      <c r="Y48" s="270"/>
    </row>
    <row r="49" spans="2:25" ht="14.5">
      <c r="B49" s="15">
        <v>45596</v>
      </c>
      <c r="C49" s="150">
        <v>1.6485000000000001</v>
      </c>
      <c r="D49" s="150">
        <v>3.3000000000000002E-2</v>
      </c>
      <c r="E49" s="150">
        <v>4.9500000000000002E-2</v>
      </c>
      <c r="F49" s="151">
        <f t="shared" si="1"/>
        <v>1.7310000000000001</v>
      </c>
      <c r="G49" s="150"/>
      <c r="H49" s="168"/>
      <c r="I49" s="265" t="s">
        <v>118</v>
      </c>
      <c r="J49" s="266"/>
      <c r="M49" s="269"/>
      <c r="N49" s="270"/>
      <c r="O49" s="270"/>
      <c r="P49" s="270"/>
      <c r="Q49" s="270"/>
      <c r="R49" s="270"/>
      <c r="S49" s="270"/>
      <c r="T49" s="270"/>
      <c r="U49" s="270"/>
      <c r="V49" s="270"/>
      <c r="W49" s="270"/>
      <c r="X49" s="270"/>
      <c r="Y49" s="270"/>
    </row>
    <row r="50" spans="2:25" ht="14.5">
      <c r="B50" s="15">
        <v>45626</v>
      </c>
      <c r="C50" s="150">
        <v>1.6485000000000001</v>
      </c>
      <c r="D50" s="150">
        <v>3.3000000000000002E-2</v>
      </c>
      <c r="E50" s="150">
        <v>4.9500000000000002E-2</v>
      </c>
      <c r="F50" s="151">
        <f t="shared" si="1"/>
        <v>1.7310000000000001</v>
      </c>
      <c r="G50" s="150"/>
      <c r="H50" s="168"/>
      <c r="I50" s="265" t="s">
        <v>118</v>
      </c>
      <c r="J50" s="266"/>
      <c r="M50" s="269"/>
      <c r="N50" s="270"/>
      <c r="O50" s="270"/>
      <c r="P50" s="270"/>
      <c r="Q50" s="270"/>
      <c r="R50" s="270"/>
      <c r="S50" s="270"/>
      <c r="T50" s="270"/>
      <c r="U50" s="270"/>
      <c r="V50" s="270"/>
      <c r="W50" s="270"/>
      <c r="X50" s="270"/>
      <c r="Y50" s="270"/>
    </row>
    <row r="51" spans="2:25" ht="14.5">
      <c r="B51" s="15">
        <v>45657</v>
      </c>
      <c r="C51" s="150">
        <v>1.6485000000000001</v>
      </c>
      <c r="D51" s="150">
        <v>3.3000000000000002E-2</v>
      </c>
      <c r="E51" s="150">
        <v>4.9500000000000002E-2</v>
      </c>
      <c r="F51" s="151">
        <f t="shared" si="1"/>
        <v>1.7310000000000001</v>
      </c>
      <c r="G51" s="150"/>
      <c r="H51" s="168"/>
      <c r="I51" s="265" t="s">
        <v>118</v>
      </c>
      <c r="J51" s="266"/>
      <c r="M51" s="269"/>
      <c r="N51" s="270"/>
      <c r="O51" s="270"/>
      <c r="P51" s="270"/>
      <c r="Q51" s="270"/>
      <c r="R51" s="270"/>
      <c r="S51" s="270"/>
      <c r="T51" s="270"/>
      <c r="U51" s="270"/>
      <c r="V51" s="270"/>
      <c r="W51" s="270"/>
      <c r="X51" s="270"/>
      <c r="Y51" s="270"/>
    </row>
    <row r="52" spans="2:25" ht="14.5">
      <c r="B52" s="101">
        <v>45688</v>
      </c>
      <c r="C52" s="148">
        <v>1.6485000000000001</v>
      </c>
      <c r="D52" s="148">
        <v>3.3000000000000002E-2</v>
      </c>
      <c r="E52" s="148">
        <v>4.9500000000000002E-2</v>
      </c>
      <c r="F52" s="149">
        <f t="shared" si="1"/>
        <v>1.7310000000000001</v>
      </c>
      <c r="G52" s="148"/>
      <c r="H52" s="167"/>
      <c r="I52" s="265"/>
      <c r="J52" s="266"/>
      <c r="M52" s="269"/>
      <c r="N52" s="270"/>
      <c r="O52" s="270"/>
      <c r="P52" s="270"/>
      <c r="Q52" s="270"/>
      <c r="R52" s="270"/>
      <c r="S52" s="270"/>
      <c r="T52" s="270"/>
      <c r="U52" s="270"/>
      <c r="V52" s="270"/>
      <c r="W52" s="270"/>
      <c r="X52" s="270"/>
      <c r="Y52" s="270"/>
    </row>
    <row r="53" spans="2:25" ht="14.5">
      <c r="B53" s="15">
        <v>45716</v>
      </c>
      <c r="C53" s="150">
        <v>1.6485000000000001</v>
      </c>
      <c r="D53" s="150">
        <v>3.3000000000000002E-2</v>
      </c>
      <c r="E53" s="150">
        <v>4.9500000000000002E-2</v>
      </c>
      <c r="F53" s="151">
        <f t="shared" si="1"/>
        <v>1.7310000000000001</v>
      </c>
      <c r="G53" s="150"/>
      <c r="H53" s="168"/>
      <c r="I53" s="265"/>
      <c r="J53" s="266"/>
      <c r="M53" s="269"/>
      <c r="N53" s="270"/>
      <c r="O53" s="270"/>
      <c r="P53" s="270"/>
      <c r="Q53" s="270"/>
      <c r="R53" s="270"/>
      <c r="S53" s="270"/>
      <c r="T53" s="270"/>
      <c r="U53" s="270"/>
      <c r="V53" s="270"/>
      <c r="W53" s="270"/>
      <c r="X53" s="270"/>
      <c r="Y53" s="270"/>
    </row>
    <row r="54" spans="2:25" ht="14.5">
      <c r="B54" s="15">
        <v>45747</v>
      </c>
      <c r="C54" s="150">
        <v>1.6485000000000001</v>
      </c>
      <c r="D54" s="150">
        <v>3.3000000000000002E-2</v>
      </c>
      <c r="E54" s="150">
        <v>4.9500000000000002E-2</v>
      </c>
      <c r="F54" s="151">
        <f t="shared" si="1"/>
        <v>1.7310000000000001</v>
      </c>
      <c r="G54" s="150"/>
      <c r="H54" s="168"/>
      <c r="I54" s="265"/>
      <c r="J54" s="266"/>
      <c r="M54" s="269"/>
      <c r="N54" s="270"/>
      <c r="O54" s="270"/>
      <c r="P54" s="270"/>
      <c r="Q54" s="270"/>
      <c r="R54" s="270"/>
      <c r="S54" s="270"/>
      <c r="T54" s="270"/>
      <c r="U54" s="270"/>
      <c r="V54" s="270"/>
      <c r="W54" s="270"/>
      <c r="X54" s="270"/>
      <c r="Y54" s="270"/>
    </row>
    <row r="55" spans="2:25" ht="14.5">
      <c r="B55" s="15">
        <v>45777</v>
      </c>
      <c r="C55" s="150">
        <v>1.6485000000000001</v>
      </c>
      <c r="D55" s="150">
        <v>3.3000000000000002E-2</v>
      </c>
      <c r="E55" s="150">
        <v>4.9500000000000002E-2</v>
      </c>
      <c r="F55" s="151">
        <f t="shared" si="1"/>
        <v>1.7310000000000001</v>
      </c>
      <c r="G55" s="150"/>
      <c r="H55" s="168"/>
      <c r="I55" s="265"/>
      <c r="J55" s="266"/>
      <c r="M55" s="269"/>
      <c r="N55" s="270"/>
      <c r="O55" s="270"/>
      <c r="P55" s="270"/>
      <c r="Q55" s="270"/>
      <c r="R55" s="270"/>
      <c r="S55" s="270"/>
      <c r="T55" s="270"/>
      <c r="U55" s="270"/>
      <c r="V55" s="270"/>
      <c r="W55" s="270"/>
      <c r="X55" s="270"/>
      <c r="Y55" s="270"/>
    </row>
    <row r="56" spans="2:25" ht="14.5">
      <c r="B56" s="15">
        <v>45808</v>
      </c>
      <c r="C56" s="150">
        <v>1.8915999999999999</v>
      </c>
      <c r="D56" s="150">
        <v>3.7900000000000003E-2</v>
      </c>
      <c r="E56" s="150">
        <v>5.67E-2</v>
      </c>
      <c r="F56" s="151">
        <f t="shared" si="1"/>
        <v>1.9862</v>
      </c>
      <c r="G56" s="150"/>
      <c r="H56" s="168"/>
      <c r="I56" s="265"/>
      <c r="J56" s="266"/>
      <c r="M56" s="269"/>
      <c r="N56" s="270"/>
      <c r="O56" s="270"/>
      <c r="P56" s="270"/>
      <c r="Q56" s="270"/>
      <c r="R56" s="270"/>
      <c r="S56" s="270"/>
      <c r="T56" s="270"/>
      <c r="U56" s="270"/>
      <c r="V56" s="270"/>
      <c r="W56" s="270"/>
      <c r="X56" s="270"/>
      <c r="Y56" s="270"/>
    </row>
    <row r="57" spans="2:25" ht="14.5">
      <c r="B57" s="15">
        <v>45838</v>
      </c>
      <c r="C57" s="150">
        <v>1.8915999999999999</v>
      </c>
      <c r="D57" s="150">
        <v>3.78E-2</v>
      </c>
      <c r="E57" s="150">
        <v>5.67E-2</v>
      </c>
      <c r="F57" s="151">
        <f t="shared" si="1"/>
        <v>1.9861</v>
      </c>
      <c r="G57" s="150"/>
      <c r="H57" s="168"/>
      <c r="I57" s="265"/>
      <c r="J57" s="266"/>
      <c r="M57" s="269"/>
      <c r="N57" s="270"/>
      <c r="O57" s="270"/>
      <c r="P57" s="270"/>
      <c r="Q57" s="270"/>
      <c r="R57" s="270"/>
      <c r="S57" s="270"/>
      <c r="T57" s="270"/>
      <c r="U57" s="270"/>
      <c r="V57" s="270"/>
      <c r="W57" s="270"/>
      <c r="X57" s="270"/>
      <c r="Y57" s="270"/>
    </row>
    <row r="58" spans="2:25" ht="14.5">
      <c r="B58" s="15">
        <v>45869</v>
      </c>
      <c r="C58" s="150">
        <v>1.9379999999999999</v>
      </c>
      <c r="D58" s="150">
        <v>3.8800000000000001E-2</v>
      </c>
      <c r="E58" s="150">
        <v>5.8099999999999999E-2</v>
      </c>
      <c r="F58" s="151">
        <f t="shared" si="1"/>
        <v>2.0348999999999999</v>
      </c>
      <c r="G58" s="150"/>
      <c r="H58" s="168"/>
      <c r="I58" s="265"/>
      <c r="J58" s="266"/>
      <c r="M58" s="269"/>
      <c r="N58" s="270"/>
      <c r="O58" s="270"/>
      <c r="P58" s="270"/>
      <c r="Q58" s="270"/>
      <c r="R58" s="270"/>
      <c r="S58" s="270"/>
      <c r="T58" s="270"/>
      <c r="U58" s="270"/>
      <c r="V58" s="270"/>
      <c r="W58" s="270"/>
      <c r="X58" s="270"/>
      <c r="Y58" s="270"/>
    </row>
    <row r="59" spans="2:25">
      <c r="B59" s="15">
        <v>45900</v>
      </c>
      <c r="C59" s="150">
        <v>1.9379999999999999</v>
      </c>
      <c r="D59" s="150">
        <v>3.8800000000000001E-2</v>
      </c>
      <c r="E59" s="150">
        <v>5.8099999999999999E-2</v>
      </c>
      <c r="F59" s="151">
        <f t="shared" si="1"/>
        <v>2.0348999999999999</v>
      </c>
      <c r="G59" s="150"/>
      <c r="H59" s="168"/>
      <c r="I59" s="265"/>
      <c r="J59" s="266"/>
    </row>
    <row r="60" spans="2:25">
      <c r="B60" s="15">
        <v>45930</v>
      </c>
      <c r="C60" s="150">
        <v>1.9379999999999999</v>
      </c>
      <c r="D60" s="150">
        <v>3.8800000000000001E-2</v>
      </c>
      <c r="E60" s="150">
        <v>5.8099999999999999E-2</v>
      </c>
      <c r="F60" s="151">
        <f t="shared" si="1"/>
        <v>2.0348999999999999</v>
      </c>
      <c r="G60" s="150"/>
      <c r="H60" s="168"/>
      <c r="I60" s="265"/>
      <c r="J60" s="266"/>
    </row>
    <row r="61" spans="2:25">
      <c r="B61" s="15">
        <v>45961</v>
      </c>
      <c r="C61" s="150">
        <v>1.9601</v>
      </c>
      <c r="D61" s="150">
        <v>0.02</v>
      </c>
      <c r="E61" s="150">
        <v>0.03</v>
      </c>
      <c r="F61" s="151">
        <f t="shared" si="1"/>
        <v>2.0101</v>
      </c>
      <c r="G61" s="150"/>
      <c r="H61" s="168"/>
      <c r="I61" s="265"/>
      <c r="J61" s="266"/>
    </row>
    <row r="62" spans="2:25">
      <c r="B62" s="15">
        <v>45991</v>
      </c>
      <c r="C62" s="150">
        <v>1.9601</v>
      </c>
      <c r="D62" s="150">
        <v>0.02</v>
      </c>
      <c r="E62" s="150">
        <v>0.03</v>
      </c>
      <c r="F62" s="151">
        <f t="shared" si="1"/>
        <v>2.0101</v>
      </c>
      <c r="G62" s="150"/>
      <c r="H62" s="168"/>
      <c r="I62" s="265"/>
      <c r="J62" s="266"/>
    </row>
    <row r="63" spans="2:25">
      <c r="B63" s="22">
        <v>46022</v>
      </c>
      <c r="C63" s="152">
        <v>1.9601</v>
      </c>
      <c r="D63" s="152">
        <v>0.02</v>
      </c>
      <c r="E63" s="152">
        <v>0.03</v>
      </c>
      <c r="F63" s="153">
        <f t="shared" si="1"/>
        <v>2.0101</v>
      </c>
      <c r="G63" s="152"/>
      <c r="H63" s="169"/>
      <c r="I63" s="265"/>
      <c r="J63" s="266"/>
    </row>
    <row r="64" spans="2:25" ht="14.5">
      <c r="B64" s="253"/>
      <c r="C64" s="254"/>
      <c r="D64" s="254"/>
      <c r="E64" s="254"/>
      <c r="F64" s="255"/>
      <c r="G64" s="254"/>
      <c r="H64" s="254"/>
      <c r="I64" s="271"/>
      <c r="J64" s="270"/>
      <c r="M64" s="44" t="s">
        <v>124</v>
      </c>
      <c r="N64" s="44"/>
      <c r="P64" s="39">
        <v>44201.875</v>
      </c>
    </row>
    <row r="65" spans="2:19">
      <c r="B65" s="253"/>
      <c r="C65" s="254"/>
      <c r="D65" s="254"/>
      <c r="E65" s="254"/>
      <c r="F65" s="255"/>
      <c r="G65" s="254"/>
      <c r="H65" s="254"/>
      <c r="I65" s="271"/>
      <c r="J65" s="270"/>
    </row>
    <row r="66" spans="2:19">
      <c r="B66" s="253"/>
      <c r="C66" s="254"/>
      <c r="D66" s="254"/>
      <c r="E66" s="254"/>
      <c r="F66" s="255"/>
      <c r="G66" s="254"/>
      <c r="H66" s="254"/>
      <c r="I66" s="271"/>
      <c r="J66" s="270"/>
      <c r="M66" s="45" t="s">
        <v>125</v>
      </c>
      <c r="N66" s="45" t="s">
        <v>175</v>
      </c>
      <c r="O66" s="45" t="s">
        <v>176</v>
      </c>
      <c r="P66" s="45" t="s">
        <v>128</v>
      </c>
      <c r="Q66" s="45" t="s">
        <v>129</v>
      </c>
    </row>
    <row r="67" spans="2:19">
      <c r="B67" s="253"/>
      <c r="C67" s="254"/>
      <c r="D67" s="254"/>
      <c r="E67" s="254"/>
      <c r="F67" s="255"/>
      <c r="G67" s="254"/>
      <c r="H67" s="254"/>
      <c r="I67" s="271"/>
      <c r="J67" s="270"/>
      <c r="M67" s="47">
        <v>0</v>
      </c>
      <c r="P67" s="171">
        <f>P64</f>
        <v>44201.875</v>
      </c>
      <c r="Q67" s="57"/>
      <c r="R67" s="57" t="s">
        <v>7</v>
      </c>
      <c r="S67" s="57"/>
    </row>
    <row r="68" spans="2:19">
      <c r="B68" s="253"/>
      <c r="C68" s="254"/>
      <c r="D68" s="254"/>
      <c r="E68" s="254"/>
      <c r="F68" s="255"/>
      <c r="G68" s="254"/>
      <c r="H68" s="254"/>
      <c r="I68" s="271"/>
      <c r="J68" s="270"/>
      <c r="M68" s="47">
        <v>1</v>
      </c>
      <c r="N68" s="50">
        <v>0.11990000000000001</v>
      </c>
      <c r="O68" s="50">
        <v>0.3</v>
      </c>
      <c r="P68" s="25">
        <v>44561</v>
      </c>
      <c r="Q68" s="200">
        <v>0</v>
      </c>
    </row>
    <row r="69" spans="2:19">
      <c r="M69" s="47">
        <v>2</v>
      </c>
      <c r="N69" s="202">
        <f>N68*(1+$Q69)</f>
        <v>0.12833664703578901</v>
      </c>
      <c r="O69" s="202">
        <f>O68*(1+$Q69)</f>
        <v>0.321109208596635</v>
      </c>
      <c r="P69" s="25">
        <f>EDATE(P68,12)</f>
        <v>44926</v>
      </c>
      <c r="Q69" s="60">
        <f>(Y36-Y35)/Y35</f>
        <v>7.0364028655451299E-2</v>
      </c>
    </row>
    <row r="70" spans="2:19">
      <c r="B70" t="s">
        <v>177</v>
      </c>
      <c r="C70" t="s">
        <v>178</v>
      </c>
      <c r="D70" s="186">
        <f>AVERAGE(F28:F39)</f>
        <v>1.49270833333333</v>
      </c>
      <c r="M70" s="47">
        <v>3</v>
      </c>
      <c r="N70" s="202">
        <f t="shared" ref="N70:N71" si="2">N69*(1+$Q70)</f>
        <v>0.13662000929075499</v>
      </c>
      <c r="O70" s="202">
        <f t="shared" ref="O70:O71" si="3">O69*(1+$Q70)</f>
        <v>0.34183488563157899</v>
      </c>
      <c r="P70" s="25">
        <f t="shared" ref="P70:P82" si="4">EDATE(P69,12)</f>
        <v>45291</v>
      </c>
      <c r="Q70" s="60">
        <f>(Y37-Y36)/Y36</f>
        <v>6.4544013314108195E-2</v>
      </c>
      <c r="R70" s="234"/>
    </row>
    <row r="71" spans="2:19">
      <c r="C71" t="s">
        <v>179</v>
      </c>
      <c r="D71" s="275">
        <f>AVERAGE(F40:F51)</f>
        <v>1.6535249999999999</v>
      </c>
      <c r="E71" s="170">
        <f>(D71-D70)/D70</f>
        <v>0.10773482205164001</v>
      </c>
      <c r="M71" s="47">
        <v>4</v>
      </c>
      <c r="N71" s="202">
        <f t="shared" si="2"/>
        <v>0.141199679814492</v>
      </c>
      <c r="O71" s="202">
        <f t="shared" si="3"/>
        <v>0.35329361087862898</v>
      </c>
      <c r="P71" s="25">
        <f t="shared" si="4"/>
        <v>45657</v>
      </c>
      <c r="Q71" s="60">
        <f>(Y38-Y37)/Y37</f>
        <v>3.3521228314302202E-2</v>
      </c>
    </row>
    <row r="72" spans="2:19">
      <c r="C72" t="s">
        <v>180</v>
      </c>
      <c r="D72" s="275">
        <f>AVERAGE(F52:F63)</f>
        <v>1.9192750000000001</v>
      </c>
      <c r="E72" s="170">
        <f>(D72-D71)/D71</f>
        <v>0.160717255560092</v>
      </c>
      <c r="M72" s="47">
        <v>5</v>
      </c>
      <c r="N72" s="202">
        <f>N71*(1+$Q$72)</f>
        <v>0.14527760736196299</v>
      </c>
      <c r="O72" s="202">
        <f>O71*(1+$Q$72)</f>
        <v>0.36349693251533699</v>
      </c>
      <c r="P72" s="25">
        <f t="shared" si="4"/>
        <v>46022</v>
      </c>
      <c r="Q72" s="60">
        <f>(Y39-Y38)/Y38</f>
        <v>2.88805721998006E-2</v>
      </c>
      <c r="R72" s="234"/>
    </row>
    <row r="73" spans="2:19">
      <c r="M73" s="48">
        <v>6</v>
      </c>
      <c r="N73" s="282">
        <f>N72*(1+$Q$73)</f>
        <v>0.14916680590001299</v>
      </c>
      <c r="O73" s="282">
        <f>O72*(1+$Q$73)</f>
        <v>0.373228038115129</v>
      </c>
      <c r="P73" s="58">
        <f t="shared" si="4"/>
        <v>46387</v>
      </c>
      <c r="Q73" s="283">
        <f>(Y40-Y39)/Y39</f>
        <v>2.6770805278750202E-2</v>
      </c>
      <c r="R73" s="234"/>
    </row>
    <row r="74" spans="2:19">
      <c r="M74" s="47">
        <v>7</v>
      </c>
      <c r="N74" s="202">
        <f t="shared" ref="N74:O82" si="5">N73*(1+$U$82)</f>
        <v>0.14916680590001299</v>
      </c>
      <c r="O74" s="202">
        <f t="shared" si="5"/>
        <v>0.373228038115129</v>
      </c>
      <c r="P74" s="25">
        <f t="shared" si="4"/>
        <v>46752</v>
      </c>
      <c r="Q74" s="60"/>
    </row>
    <row r="75" spans="2:19">
      <c r="M75" s="47">
        <v>8</v>
      </c>
      <c r="N75" s="202">
        <f t="shared" si="5"/>
        <v>0.14916680590001299</v>
      </c>
      <c r="O75" s="202">
        <f t="shared" si="5"/>
        <v>0.373228038115129</v>
      </c>
      <c r="P75" s="25">
        <f t="shared" si="4"/>
        <v>47118</v>
      </c>
      <c r="Q75" s="60"/>
    </row>
    <row r="76" spans="2:19" ht="14.5">
      <c r="B76" s="30" t="s">
        <v>130</v>
      </c>
      <c r="C76" s="29" t="s">
        <v>131</v>
      </c>
      <c r="D76" s="276">
        <v>10.9348724</v>
      </c>
      <c r="E76" s="31">
        <v>46022</v>
      </c>
      <c r="M76" s="47">
        <v>9</v>
      </c>
      <c r="N76" s="202">
        <f t="shared" si="5"/>
        <v>0.14916680590001299</v>
      </c>
      <c r="O76" s="202">
        <f t="shared" si="5"/>
        <v>0.373228038115129</v>
      </c>
      <c r="P76" s="25">
        <f t="shared" si="4"/>
        <v>47483</v>
      </c>
      <c r="Q76" s="60"/>
    </row>
    <row r="77" spans="2:19">
      <c r="B77" s="89">
        <f>N73</f>
        <v>0.14916680590001299</v>
      </c>
      <c r="C77" s="29" t="s">
        <v>133</v>
      </c>
      <c r="D77" s="277">
        <f>B77*$D$76</f>
        <v>1.6311199888322101</v>
      </c>
      <c r="E77" s="29" t="s">
        <v>181</v>
      </c>
      <c r="F77" s="278"/>
      <c r="M77" s="47">
        <v>10</v>
      </c>
      <c r="N77" s="202">
        <f t="shared" si="5"/>
        <v>0.14916680590001299</v>
      </c>
      <c r="O77" s="202">
        <f t="shared" si="5"/>
        <v>0.373228038115129</v>
      </c>
      <c r="P77" s="25">
        <f t="shared" si="4"/>
        <v>47848</v>
      </c>
      <c r="Q77" s="60"/>
    </row>
    <row r="78" spans="2:19">
      <c r="B78" s="32">
        <f>O73</f>
        <v>0.373228038115129</v>
      </c>
      <c r="C78" s="279" t="s">
        <v>135</v>
      </c>
      <c r="D78" s="280">
        <f>B78*$D$76</f>
        <v>4.0812009728912697</v>
      </c>
      <c r="E78" s="29" t="s">
        <v>181</v>
      </c>
      <c r="M78" s="47">
        <v>11</v>
      </c>
      <c r="N78" s="202">
        <f t="shared" si="5"/>
        <v>0.14916680590001299</v>
      </c>
      <c r="O78" s="202">
        <f t="shared" si="5"/>
        <v>0.373228038115129</v>
      </c>
      <c r="P78" s="25">
        <f t="shared" si="4"/>
        <v>48213</v>
      </c>
      <c r="Q78" s="60"/>
    </row>
    <row r="79" spans="2:19">
      <c r="B79" s="29"/>
      <c r="C79" s="279" t="s">
        <v>137</v>
      </c>
      <c r="D79" s="113">
        <v>0.16</v>
      </c>
      <c r="E79" s="29"/>
      <c r="M79" s="47">
        <v>12</v>
      </c>
      <c r="N79" s="202">
        <f t="shared" si="5"/>
        <v>0.14916680590001299</v>
      </c>
      <c r="O79" s="202">
        <f t="shared" si="5"/>
        <v>0.373228038115129</v>
      </c>
      <c r="P79" s="25">
        <f t="shared" si="4"/>
        <v>48579</v>
      </c>
      <c r="Q79" s="60"/>
    </row>
    <row r="80" spans="2:19">
      <c r="B80" s="32">
        <f>D80/D76</f>
        <v>0.14743573962509199</v>
      </c>
      <c r="C80" s="281" t="s">
        <v>182</v>
      </c>
      <c r="D80" s="159">
        <f>D72*(1-D79)</f>
        <v>1.6121909999999999</v>
      </c>
      <c r="E80" s="29"/>
      <c r="M80" s="47">
        <v>13</v>
      </c>
      <c r="N80" s="202">
        <f t="shared" si="5"/>
        <v>0.14916680590001299</v>
      </c>
      <c r="O80" s="202">
        <f t="shared" si="5"/>
        <v>0.373228038115129</v>
      </c>
      <c r="P80" s="25">
        <f t="shared" si="4"/>
        <v>48944</v>
      </c>
      <c r="Q80" s="60"/>
    </row>
    <row r="81" spans="2:19">
      <c r="B81" s="29"/>
      <c r="C81" s="29"/>
      <c r="D81" s="29"/>
      <c r="E81" s="29"/>
      <c r="M81" s="47">
        <v>14</v>
      </c>
      <c r="N81" s="202">
        <f t="shared" si="5"/>
        <v>0.14916680590001299</v>
      </c>
      <c r="O81" s="202">
        <f t="shared" si="5"/>
        <v>0.373228038115129</v>
      </c>
      <c r="P81" s="25">
        <f t="shared" si="4"/>
        <v>49309</v>
      </c>
      <c r="Q81" s="60"/>
    </row>
    <row r="82" spans="2:19">
      <c r="M82" s="47">
        <v>15</v>
      </c>
      <c r="N82" s="202">
        <f t="shared" si="5"/>
        <v>0.14916680590001299</v>
      </c>
      <c r="O82" s="202">
        <f t="shared" si="5"/>
        <v>0.373228038115129</v>
      </c>
      <c r="P82" s="25">
        <f t="shared" si="4"/>
        <v>49674</v>
      </c>
      <c r="Q82" s="60"/>
      <c r="S82" s="37"/>
    </row>
    <row r="83" spans="2:19">
      <c r="M83" s="47"/>
      <c r="S83" s="37"/>
    </row>
    <row r="84" spans="2:19">
      <c r="I84" s="381"/>
      <c r="J84" s="381"/>
      <c r="K84" s="381"/>
      <c r="L84" s="381"/>
      <c r="M84" s="381"/>
      <c r="N84" s="381"/>
      <c r="O84" s="381"/>
      <c r="P84" s="381"/>
    </row>
    <row r="94" spans="2:19">
      <c r="C94" s="40" t="s">
        <v>139</v>
      </c>
      <c r="D94" s="40"/>
      <c r="E94" s="40"/>
      <c r="F94" s="40"/>
      <c r="G94" s="40"/>
      <c r="H94" s="40"/>
    </row>
    <row r="111" spans="7:8">
      <c r="G111" s="57" t="s">
        <v>140</v>
      </c>
      <c r="H111" s="57"/>
    </row>
  </sheetData>
  <mergeCells count="10">
    <mergeCell ref="M12:R12"/>
    <mergeCell ref="M13:R13"/>
    <mergeCell ref="M14:R14"/>
    <mergeCell ref="N15:R15"/>
    <mergeCell ref="M16:R16"/>
    <mergeCell ref="N18:R18"/>
    <mergeCell ref="N19:R19"/>
    <mergeCell ref="N21:R21"/>
    <mergeCell ref="N23:Y23"/>
    <mergeCell ref="I84:P84"/>
  </mergeCells>
  <hyperlinks>
    <hyperlink ref="S15" r:id="rId1" xr:uid="{00000000-0004-0000-0200-000000000000}"/>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AE71"/>
  <sheetViews>
    <sheetView zoomScale="85" zoomScaleNormal="85" workbookViewId="0">
      <pane ySplit="3" topLeftCell="A48" activePane="bottomLeft" state="frozen"/>
      <selection pane="bottomLeft" activeCell="J28" sqref="J28"/>
    </sheetView>
  </sheetViews>
  <sheetFormatPr defaultColWidth="9" defaultRowHeight="14"/>
  <cols>
    <col min="2" max="2" width="10" customWidth="1"/>
    <col min="3" max="3" width="25.453125" customWidth="1"/>
    <col min="4" max="4" width="12.1796875" customWidth="1"/>
    <col min="5" max="5" width="10.81640625" customWidth="1"/>
    <col min="6" max="6" width="11.1796875" customWidth="1"/>
    <col min="7" max="7" width="11.453125" customWidth="1"/>
    <col min="8" max="8" width="10.81640625" customWidth="1"/>
    <col min="9" max="9" width="11.453125" customWidth="1"/>
    <col min="10" max="10" width="10.81640625" customWidth="1"/>
    <col min="11" max="11" width="17.81640625" customWidth="1"/>
    <col min="12" max="12" width="18.453125" customWidth="1"/>
    <col min="13" max="13" width="14.453125" customWidth="1"/>
    <col min="15" max="15" width="10.453125" customWidth="1"/>
    <col min="17" max="17" width="11" customWidth="1"/>
    <col min="20" max="20" width="15.26953125" customWidth="1"/>
    <col min="21" max="21" width="8.26953125" customWidth="1"/>
    <col min="22" max="23" width="9" customWidth="1"/>
    <col min="24" max="24" width="11.26953125" customWidth="1"/>
    <col min="29" max="29" width="3.453125" customWidth="1"/>
  </cols>
  <sheetData>
    <row r="2" spans="2:30">
      <c r="B2" s="61" t="s">
        <v>141</v>
      </c>
      <c r="C2" s="61" t="s">
        <v>142</v>
      </c>
      <c r="D2" s="61" t="s">
        <v>143</v>
      </c>
      <c r="E2" s="61" t="s">
        <v>144</v>
      </c>
      <c r="F2" s="61" t="s">
        <v>183</v>
      </c>
      <c r="G2" s="61" t="s">
        <v>184</v>
      </c>
      <c r="H2" s="61" t="s">
        <v>185</v>
      </c>
      <c r="I2" s="61" t="s">
        <v>186</v>
      </c>
      <c r="J2" s="61" t="s">
        <v>145</v>
      </c>
      <c r="K2" s="61" t="s">
        <v>146</v>
      </c>
      <c r="L2" s="61" t="s">
        <v>147</v>
      </c>
    </row>
    <row r="3" spans="2:30">
      <c r="B3" s="4" t="s">
        <v>104</v>
      </c>
      <c r="C3" s="4" t="s">
        <v>105</v>
      </c>
      <c r="D3" s="4" t="s">
        <v>106</v>
      </c>
      <c r="E3" s="4" t="s">
        <v>107</v>
      </c>
      <c r="F3" s="4" t="s">
        <v>108</v>
      </c>
      <c r="G3" s="4" t="s">
        <v>109</v>
      </c>
      <c r="H3" s="4" t="s">
        <v>110</v>
      </c>
      <c r="I3" s="4" t="s">
        <v>111</v>
      </c>
      <c r="J3" s="4" t="s">
        <v>112</v>
      </c>
      <c r="K3" s="4" t="s">
        <v>113</v>
      </c>
      <c r="L3" s="4" t="s">
        <v>114</v>
      </c>
    </row>
    <row r="4" spans="2:30">
      <c r="B4" s="139">
        <v>44651</v>
      </c>
      <c r="C4" s="102">
        <v>8.1</v>
      </c>
      <c r="D4" s="102">
        <v>0.03</v>
      </c>
      <c r="E4" s="102">
        <v>4.63</v>
      </c>
      <c r="F4" s="102">
        <v>0.73140000000000005</v>
      </c>
      <c r="G4" s="102">
        <v>0.47</v>
      </c>
      <c r="H4" s="102">
        <v>0.12809999999999999</v>
      </c>
      <c r="I4" s="102">
        <v>1.7399999999999999E-2</v>
      </c>
      <c r="J4" s="138">
        <f>SUM(C4:I4)</f>
        <v>14.1069</v>
      </c>
      <c r="K4" s="102">
        <v>0</v>
      </c>
      <c r="L4" s="160">
        <v>0</v>
      </c>
    </row>
    <row r="5" spans="2:30">
      <c r="B5" s="139">
        <v>44681</v>
      </c>
      <c r="C5" s="107">
        <v>8.1</v>
      </c>
      <c r="D5" s="107">
        <v>0.03</v>
      </c>
      <c r="E5" s="107">
        <v>4.63</v>
      </c>
      <c r="F5" s="107">
        <v>0.73140000000000005</v>
      </c>
      <c r="G5" s="107">
        <v>0.47</v>
      </c>
      <c r="H5" s="107">
        <v>0.13159999999999999</v>
      </c>
      <c r="I5" s="107">
        <v>1.7399999999999999E-2</v>
      </c>
      <c r="J5" s="191">
        <f t="shared" ref="J5:J15" si="0">SUM(C5:I5)</f>
        <v>14.1104</v>
      </c>
      <c r="K5" s="107">
        <v>0</v>
      </c>
      <c r="L5" s="161">
        <v>0</v>
      </c>
    </row>
    <row r="6" spans="2:30">
      <c r="B6" s="139">
        <v>44712</v>
      </c>
      <c r="C6" s="107">
        <v>8.1</v>
      </c>
      <c r="D6" s="107">
        <v>0.03</v>
      </c>
      <c r="E6" s="107">
        <v>4.63</v>
      </c>
      <c r="F6" s="107">
        <v>0.73140000000000005</v>
      </c>
      <c r="G6" s="107">
        <v>0.47</v>
      </c>
      <c r="H6" s="107">
        <v>0.13070000000000001</v>
      </c>
      <c r="I6" s="107">
        <v>1.7399999999999999E-2</v>
      </c>
      <c r="J6" s="191">
        <f t="shared" si="0"/>
        <v>14.109500000000001</v>
      </c>
      <c r="K6" s="107">
        <v>0</v>
      </c>
      <c r="L6" s="161">
        <v>0</v>
      </c>
      <c r="O6" s="44"/>
      <c r="P6" s="192" t="s">
        <v>187</v>
      </c>
      <c r="Q6" s="110">
        <f>12*7</f>
        <v>84</v>
      </c>
      <c r="R6" t="s">
        <v>188</v>
      </c>
    </row>
    <row r="7" spans="2:30">
      <c r="B7" s="139">
        <v>44742</v>
      </c>
      <c r="C7" s="107">
        <v>8.1</v>
      </c>
      <c r="D7" s="107">
        <v>0.03</v>
      </c>
      <c r="E7" s="107">
        <v>4.63</v>
      </c>
      <c r="F7" s="107">
        <v>0.73140000000000005</v>
      </c>
      <c r="G7" s="107">
        <v>0.47</v>
      </c>
      <c r="H7" s="107">
        <v>0.1305</v>
      </c>
      <c r="I7" s="107">
        <v>1.7399999999999999E-2</v>
      </c>
      <c r="J7" s="191">
        <f t="shared" si="0"/>
        <v>14.109299999999999</v>
      </c>
      <c r="K7" s="107">
        <v>0</v>
      </c>
      <c r="L7" s="161">
        <v>0</v>
      </c>
      <c r="P7" s="193" t="s">
        <v>189</v>
      </c>
      <c r="Q7" s="47">
        <f>6+12</f>
        <v>18</v>
      </c>
      <c r="R7" t="s">
        <v>190</v>
      </c>
    </row>
    <row r="8" spans="2:30">
      <c r="B8" s="139">
        <v>44773</v>
      </c>
      <c r="C8" s="107">
        <v>8.1</v>
      </c>
      <c r="D8" s="107">
        <v>0.03</v>
      </c>
      <c r="E8" s="107">
        <v>4.63</v>
      </c>
      <c r="F8" s="107">
        <v>0.73140000000000005</v>
      </c>
      <c r="G8" s="107">
        <v>0.47</v>
      </c>
      <c r="H8" s="107">
        <v>0.13170000000000001</v>
      </c>
      <c r="I8" s="107">
        <v>1.7399999999999999E-2</v>
      </c>
      <c r="J8" s="191">
        <f t="shared" si="0"/>
        <v>14.1105</v>
      </c>
      <c r="K8" s="107">
        <v>0</v>
      </c>
      <c r="L8" s="161">
        <v>0</v>
      </c>
    </row>
    <row r="9" spans="2:30">
      <c r="B9" s="139">
        <v>44804</v>
      </c>
      <c r="C9" s="107">
        <v>8.1</v>
      </c>
      <c r="D9" s="107">
        <v>0.03</v>
      </c>
      <c r="E9" s="107">
        <v>4.63</v>
      </c>
      <c r="F9" s="107">
        <v>0.73140000000000005</v>
      </c>
      <c r="G9" s="107">
        <v>0.47</v>
      </c>
      <c r="H9" s="107">
        <v>0.13500000000000001</v>
      </c>
      <c r="I9" s="107">
        <v>1.7399999999999999E-2</v>
      </c>
      <c r="J9" s="191">
        <f t="shared" si="0"/>
        <v>14.113799999999999</v>
      </c>
      <c r="K9" s="107">
        <v>0</v>
      </c>
      <c r="L9" s="161">
        <v>0</v>
      </c>
      <c r="P9" s="192" t="s">
        <v>191</v>
      </c>
      <c r="Q9" s="61" t="s">
        <v>192</v>
      </c>
    </row>
    <row r="10" spans="2:30">
      <c r="B10" s="139">
        <v>44834</v>
      </c>
      <c r="C10" s="107">
        <v>8.1</v>
      </c>
      <c r="D10" s="107">
        <v>0.03</v>
      </c>
      <c r="E10" s="107">
        <v>6.79</v>
      </c>
      <c r="F10" s="107">
        <v>1.3685</v>
      </c>
      <c r="G10" s="107">
        <v>0.67</v>
      </c>
      <c r="H10" s="107">
        <v>0.13500000000000001</v>
      </c>
      <c r="I10" s="107">
        <v>1.26E-2</v>
      </c>
      <c r="J10" s="191">
        <f t="shared" si="0"/>
        <v>17.106100000000001</v>
      </c>
      <c r="K10" s="107">
        <v>0</v>
      </c>
      <c r="L10" s="161">
        <v>0</v>
      </c>
      <c r="P10" s="193" t="s">
        <v>193</v>
      </c>
      <c r="Q10" s="203">
        <f>(Q6-Q7)/Q6</f>
        <v>0.78571428571428603</v>
      </c>
    </row>
    <row r="11" spans="2:30">
      <c r="B11" s="139">
        <v>44865</v>
      </c>
      <c r="C11" s="107">
        <v>8.1</v>
      </c>
      <c r="D11" s="107">
        <v>0.03</v>
      </c>
      <c r="E11" s="107">
        <v>7.09</v>
      </c>
      <c r="F11" s="107">
        <v>1.4829000000000001</v>
      </c>
      <c r="G11" s="107">
        <v>0.67</v>
      </c>
      <c r="H11" s="107">
        <v>0.13500000000000001</v>
      </c>
      <c r="I11" s="107">
        <v>1.2E-2</v>
      </c>
      <c r="J11" s="191">
        <f t="shared" si="0"/>
        <v>17.5199</v>
      </c>
      <c r="K11" s="107">
        <v>0</v>
      </c>
      <c r="L11" s="161">
        <v>0</v>
      </c>
      <c r="P11" s="193" t="s">
        <v>194</v>
      </c>
      <c r="Q11" s="203">
        <f>Q7/Q6</f>
        <v>0.214285714285714</v>
      </c>
    </row>
    <row r="12" spans="2:30">
      <c r="B12" s="139">
        <v>44895</v>
      </c>
      <c r="C12" s="107">
        <v>8.1</v>
      </c>
      <c r="D12" s="107">
        <v>0.03</v>
      </c>
      <c r="E12" s="107">
        <v>6.36</v>
      </c>
      <c r="F12" s="107">
        <v>1.4080999999999999</v>
      </c>
      <c r="G12" s="107">
        <v>0.67</v>
      </c>
      <c r="H12" s="107">
        <v>0.13389999999999999</v>
      </c>
      <c r="I12" s="107">
        <v>1.2E-2</v>
      </c>
      <c r="J12" s="191">
        <f t="shared" si="0"/>
        <v>16.713999999999999</v>
      </c>
      <c r="K12" s="107">
        <v>0</v>
      </c>
      <c r="L12" s="161">
        <v>0</v>
      </c>
    </row>
    <row r="13" spans="2:30">
      <c r="B13" s="139">
        <v>44926</v>
      </c>
      <c r="C13" s="107">
        <v>8.1</v>
      </c>
      <c r="D13" s="107">
        <v>0.03</v>
      </c>
      <c r="E13" s="107">
        <v>7.12</v>
      </c>
      <c r="F13" s="107">
        <v>2.0718000000000001</v>
      </c>
      <c r="G13" s="107">
        <v>0.67</v>
      </c>
      <c r="H13" s="107">
        <v>0.13500000000000001</v>
      </c>
      <c r="I13" s="107">
        <v>1.15E-2</v>
      </c>
      <c r="J13" s="191">
        <f t="shared" si="0"/>
        <v>18.138300000000001</v>
      </c>
      <c r="K13" s="107">
        <v>0</v>
      </c>
      <c r="L13" s="161">
        <v>0</v>
      </c>
    </row>
    <row r="14" spans="2:30">
      <c r="B14" s="139">
        <v>44957</v>
      </c>
      <c r="C14" s="107">
        <v>8.1</v>
      </c>
      <c r="D14" s="107">
        <v>0.03</v>
      </c>
      <c r="E14" s="107">
        <v>7.18</v>
      </c>
      <c r="F14" s="107">
        <v>1.9267000000000001</v>
      </c>
      <c r="G14" s="107">
        <v>0.85</v>
      </c>
      <c r="H14" s="107">
        <v>0.13500000000000001</v>
      </c>
      <c r="I14" s="107">
        <v>1.0699999999999999E-2</v>
      </c>
      <c r="J14" s="191">
        <f t="shared" si="0"/>
        <v>18.232399999999998</v>
      </c>
      <c r="K14" s="107">
        <v>0</v>
      </c>
      <c r="L14" s="161">
        <v>0</v>
      </c>
      <c r="Q14" s="384" t="s">
        <v>195</v>
      </c>
      <c r="R14" s="384"/>
      <c r="S14" s="384"/>
      <c r="U14" s="384" t="s">
        <v>196</v>
      </c>
      <c r="V14" s="384"/>
      <c r="W14" s="384"/>
      <c r="Y14" s="384" t="s">
        <v>197</v>
      </c>
      <c r="Z14" s="384"/>
      <c r="AA14" s="384"/>
    </row>
    <row r="15" spans="2:30">
      <c r="B15" s="139">
        <v>44985</v>
      </c>
      <c r="C15" s="12">
        <v>8.1</v>
      </c>
      <c r="D15" s="12">
        <v>0.03</v>
      </c>
      <c r="E15" s="12">
        <v>6.59</v>
      </c>
      <c r="F15" s="12">
        <v>1.8504</v>
      </c>
      <c r="G15" s="12">
        <v>0.85</v>
      </c>
      <c r="H15" s="12">
        <v>0.107</v>
      </c>
      <c r="I15" s="12">
        <v>8.3999999999999995E-3</v>
      </c>
      <c r="J15" s="140">
        <f t="shared" si="0"/>
        <v>17.535799999999998</v>
      </c>
      <c r="K15" s="12">
        <v>0</v>
      </c>
      <c r="L15" s="161">
        <v>0</v>
      </c>
      <c r="Q15" s="204" t="s">
        <v>198</v>
      </c>
      <c r="R15" s="204" t="s">
        <v>199</v>
      </c>
      <c r="S15" s="204" t="s">
        <v>200</v>
      </c>
      <c r="T15" s="204" t="s">
        <v>201</v>
      </c>
      <c r="U15" s="204" t="s">
        <v>198</v>
      </c>
      <c r="V15" s="204" t="s">
        <v>199</v>
      </c>
      <c r="W15" s="204" t="s">
        <v>200</v>
      </c>
      <c r="X15" s="204" t="s">
        <v>105</v>
      </c>
      <c r="Y15" s="204" t="s">
        <v>198</v>
      </c>
      <c r="Z15" s="204" t="s">
        <v>199</v>
      </c>
      <c r="AA15" s="204" t="s">
        <v>200</v>
      </c>
      <c r="AB15" s="4" t="s">
        <v>202</v>
      </c>
      <c r="AD15" s="4" t="s">
        <v>110</v>
      </c>
    </row>
    <row r="16" spans="2:30">
      <c r="B16" s="137">
        <v>45016</v>
      </c>
      <c r="C16" s="143">
        <f>T16</f>
        <v>7.2321428571428603</v>
      </c>
      <c r="D16" s="143">
        <v>0.03</v>
      </c>
      <c r="E16" s="143">
        <v>8.3000000000000007</v>
      </c>
      <c r="F16" s="143">
        <v>2.1629</v>
      </c>
      <c r="G16" s="143">
        <v>0.85</v>
      </c>
      <c r="H16" s="143">
        <f>AD16</f>
        <v>0.101501240694789</v>
      </c>
      <c r="I16" s="143">
        <v>6.7000000000000002E-3</v>
      </c>
      <c r="J16" s="144">
        <f t="shared" ref="J16:J39" si="1">SUM(C16:I16)</f>
        <v>18.683244097837601</v>
      </c>
      <c r="K16" s="63"/>
      <c r="L16" s="64"/>
      <c r="M16" s="164" t="s">
        <v>118</v>
      </c>
      <c r="Q16" s="205">
        <v>8.1</v>
      </c>
      <c r="R16" s="206">
        <v>8.1</v>
      </c>
      <c r="S16" s="207">
        <v>4.05</v>
      </c>
      <c r="T16" s="208">
        <f>AVERAGE(Q16:R16)*$Q$10+S16*$Q$11</f>
        <v>7.2321428571428603</v>
      </c>
      <c r="U16" s="209">
        <v>19740</v>
      </c>
      <c r="V16" s="210">
        <v>4620</v>
      </c>
      <c r="W16" s="211">
        <v>24000</v>
      </c>
      <c r="X16" s="212">
        <f t="shared" ref="X16:X28" si="2">SUM(U16:W16)</f>
        <v>48360</v>
      </c>
      <c r="Y16" s="235">
        <f>Q16*(U16/$X16)</f>
        <v>3.3063275434243198</v>
      </c>
      <c r="Z16" s="236">
        <f t="shared" ref="Z16:AA16" si="3">R16*(V16/$X16)</f>
        <v>0.77382133995037194</v>
      </c>
      <c r="AA16" s="237">
        <f t="shared" si="3"/>
        <v>2.0099255583126601</v>
      </c>
      <c r="AB16" s="236">
        <f>AVERAGE(Y16:AA16)</f>
        <v>2.0300248138957802</v>
      </c>
      <c r="AC16" s="238">
        <v>0.05</v>
      </c>
      <c r="AD16" s="239">
        <f>AB16*AC16</f>
        <v>0.101501240694789</v>
      </c>
    </row>
    <row r="17" spans="2:30">
      <c r="B17" s="139">
        <v>45046</v>
      </c>
      <c r="C17" s="106">
        <f t="shared" ref="C17:C39" si="4">T17</f>
        <v>11.6785714285714</v>
      </c>
      <c r="D17" s="106">
        <v>0.3</v>
      </c>
      <c r="E17" s="106">
        <v>3.9</v>
      </c>
      <c r="F17" s="106">
        <v>0.96460000000000001</v>
      </c>
      <c r="G17" s="106">
        <v>0.85</v>
      </c>
      <c r="H17" s="26">
        <f t="shared" ref="H17:H39" si="5">AD17</f>
        <v>0.16622809659090901</v>
      </c>
      <c r="I17" s="106">
        <v>6.7470000000000004E-3</v>
      </c>
      <c r="J17" s="27">
        <f t="shared" si="1"/>
        <v>17.8661465251623</v>
      </c>
      <c r="K17" s="21"/>
      <c r="L17" s="14"/>
      <c r="M17" s="164" t="s">
        <v>118</v>
      </c>
      <c r="Q17" s="213">
        <v>13.08</v>
      </c>
      <c r="R17" s="214">
        <v>13.08</v>
      </c>
      <c r="S17" s="215">
        <v>6.54</v>
      </c>
      <c r="T17" s="208">
        <f t="shared" ref="T17:T28" si="6">AVERAGE(Q17:R17)*$Q$10+S17*$Q$11</f>
        <v>11.6785714285714</v>
      </c>
      <c r="U17" s="216">
        <v>17280</v>
      </c>
      <c r="V17" s="217">
        <v>4897.2</v>
      </c>
      <c r="W17" s="218">
        <v>20062.8</v>
      </c>
      <c r="X17" s="219">
        <f t="shared" si="2"/>
        <v>42240</v>
      </c>
      <c r="Y17" s="240">
        <f t="shared" ref="Y17:Y29" si="7">Q17*(U17/$X17)</f>
        <v>5.3509090909090897</v>
      </c>
      <c r="Z17" s="37">
        <f t="shared" ref="Z17:Z29" si="8">R17*(V17/$X17)</f>
        <v>1.5164625</v>
      </c>
      <c r="AA17" s="241">
        <f t="shared" ref="AA17:AA29" si="9">S17*(W17/$X17)</f>
        <v>3.1063142045454502</v>
      </c>
      <c r="AB17" s="37">
        <f t="shared" ref="AB17:AB29" si="10">AVERAGE(Y17:AA17)</f>
        <v>3.32456193181818</v>
      </c>
      <c r="AC17" s="242">
        <v>0.05</v>
      </c>
      <c r="AD17" s="243">
        <f t="shared" ref="AD17:AD36" si="11">AB17*AC17</f>
        <v>0.16622809659090901</v>
      </c>
    </row>
    <row r="18" spans="2:30">
      <c r="B18" s="139">
        <v>45077</v>
      </c>
      <c r="C18" s="106">
        <f t="shared" si="4"/>
        <v>11.8214285714286</v>
      </c>
      <c r="D18" s="106">
        <v>0.03</v>
      </c>
      <c r="E18" s="106">
        <v>4.38</v>
      </c>
      <c r="F18" s="106">
        <v>0.83589999999999998</v>
      </c>
      <c r="G18" s="106">
        <v>0.85</v>
      </c>
      <c r="H18" s="26">
        <f t="shared" si="5"/>
        <v>0.16378857090341001</v>
      </c>
      <c r="I18" s="106">
        <v>1.0999999999999999E-2</v>
      </c>
      <c r="J18" s="27">
        <f t="shared" si="1"/>
        <v>18.092117142332</v>
      </c>
      <c r="K18" s="21"/>
      <c r="L18" s="14"/>
      <c r="M18" s="164" t="s">
        <v>118</v>
      </c>
      <c r="Q18" s="213">
        <v>13.24</v>
      </c>
      <c r="R18" s="214">
        <v>13.24</v>
      </c>
      <c r="S18" s="215">
        <v>6.62</v>
      </c>
      <c r="T18" s="208">
        <f t="shared" si="6"/>
        <v>11.8214285714286</v>
      </c>
      <c r="U18" s="216">
        <v>47820</v>
      </c>
      <c r="V18" s="217">
        <v>4897.2</v>
      </c>
      <c r="W18" s="218">
        <v>56092.800000000003</v>
      </c>
      <c r="X18" s="219">
        <f t="shared" si="2"/>
        <v>108810</v>
      </c>
      <c r="Y18" s="240">
        <f t="shared" si="7"/>
        <v>5.8187372484146698</v>
      </c>
      <c r="Z18" s="37">
        <f t="shared" si="8"/>
        <v>0.595891259994486</v>
      </c>
      <c r="AA18" s="241">
        <f t="shared" si="9"/>
        <v>3.4126857457954198</v>
      </c>
      <c r="AB18" s="37">
        <f t="shared" si="10"/>
        <v>3.2757714180681901</v>
      </c>
      <c r="AC18" s="242">
        <v>0.05</v>
      </c>
      <c r="AD18" s="243">
        <f t="shared" si="11"/>
        <v>0.16378857090341001</v>
      </c>
    </row>
    <row r="19" spans="2:30">
      <c r="B19" s="139">
        <v>45107</v>
      </c>
      <c r="C19" s="106">
        <f t="shared" si="4"/>
        <v>11.8214285714286</v>
      </c>
      <c r="D19" s="106">
        <v>0.03</v>
      </c>
      <c r="E19" s="106">
        <v>4.49</v>
      </c>
      <c r="F19" s="106">
        <v>2.0598999999999998</v>
      </c>
      <c r="G19" s="106">
        <v>0.85</v>
      </c>
      <c r="H19" s="26">
        <f t="shared" si="5"/>
        <v>0.17083471032066799</v>
      </c>
      <c r="I19" s="106">
        <v>1.3100000000000001E-2</v>
      </c>
      <c r="J19" s="27">
        <f t="shared" si="1"/>
        <v>19.435263281749201</v>
      </c>
      <c r="K19" s="21"/>
      <c r="L19" s="14"/>
      <c r="M19" s="164" t="s">
        <v>118</v>
      </c>
      <c r="Q19" s="213">
        <v>13.24</v>
      </c>
      <c r="R19" s="214">
        <v>13.24</v>
      </c>
      <c r="S19" s="215">
        <v>6.62</v>
      </c>
      <c r="T19" s="208">
        <f t="shared" si="6"/>
        <v>11.8214285714286</v>
      </c>
      <c r="U19" s="216">
        <v>76500</v>
      </c>
      <c r="V19" s="217">
        <v>4897.2</v>
      </c>
      <c r="W19" s="218">
        <v>67042.8</v>
      </c>
      <c r="X19" s="219">
        <f t="shared" si="2"/>
        <v>148440</v>
      </c>
      <c r="Y19" s="240">
        <f t="shared" si="7"/>
        <v>6.8233629749393696</v>
      </c>
      <c r="Z19" s="37">
        <f t="shared" si="8"/>
        <v>0.43680226354082502</v>
      </c>
      <c r="AA19" s="241">
        <f t="shared" si="9"/>
        <v>2.9899173807599002</v>
      </c>
      <c r="AB19" s="37">
        <f t="shared" si="10"/>
        <v>3.4166942064133701</v>
      </c>
      <c r="AC19" s="242">
        <v>0.05</v>
      </c>
      <c r="AD19" s="243">
        <f t="shared" si="11"/>
        <v>0.17083471032066799</v>
      </c>
    </row>
    <row r="20" spans="2:30">
      <c r="B20" s="139">
        <v>45138</v>
      </c>
      <c r="C20" s="106">
        <f t="shared" si="4"/>
        <v>11.6785714285714</v>
      </c>
      <c r="D20" s="106">
        <v>0.08</v>
      </c>
      <c r="E20" s="106">
        <v>4.0199999999999996</v>
      </c>
      <c r="F20" s="106">
        <v>1.7465999999999999</v>
      </c>
      <c r="G20" s="106">
        <v>0.23</v>
      </c>
      <c r="H20" s="26">
        <f t="shared" si="5"/>
        <v>0.170442472306951</v>
      </c>
      <c r="I20" s="106">
        <v>1.46E-2</v>
      </c>
      <c r="J20" s="27">
        <f t="shared" si="1"/>
        <v>17.940213900878401</v>
      </c>
      <c r="K20" s="21"/>
      <c r="L20" s="14"/>
      <c r="M20" s="164" t="s">
        <v>118</v>
      </c>
      <c r="Q20" s="213">
        <v>13.08</v>
      </c>
      <c r="R20" s="214">
        <v>13.08</v>
      </c>
      <c r="S20" s="215">
        <v>6.54</v>
      </c>
      <c r="T20" s="208">
        <f t="shared" si="6"/>
        <v>11.6785714285714</v>
      </c>
      <c r="U20" s="216">
        <v>100440</v>
      </c>
      <c r="V20" s="217">
        <v>4897.2</v>
      </c>
      <c r="W20" s="218">
        <v>81532.800000000003</v>
      </c>
      <c r="X20" s="219">
        <f t="shared" si="2"/>
        <v>186870</v>
      </c>
      <c r="Y20" s="240">
        <f t="shared" si="7"/>
        <v>7.0303162626424802</v>
      </c>
      <c r="Z20" s="37">
        <f t="shared" si="8"/>
        <v>0.34278041419168398</v>
      </c>
      <c r="AA20" s="241">
        <f t="shared" si="9"/>
        <v>2.8534516615829202</v>
      </c>
      <c r="AB20" s="37">
        <f t="shared" si="10"/>
        <v>3.4088494461390302</v>
      </c>
      <c r="AC20" s="242">
        <v>0.05</v>
      </c>
      <c r="AD20" s="243">
        <f t="shared" si="11"/>
        <v>0.170442472306951</v>
      </c>
    </row>
    <row r="21" spans="2:30">
      <c r="B21" s="139">
        <v>45169</v>
      </c>
      <c r="C21" s="106">
        <f t="shared" si="4"/>
        <v>11.6785714285714</v>
      </c>
      <c r="D21" s="106">
        <v>0.08</v>
      </c>
      <c r="E21" s="106">
        <v>4.46</v>
      </c>
      <c r="F21" s="106">
        <v>1.7076</v>
      </c>
      <c r="G21" s="106">
        <v>0.23</v>
      </c>
      <c r="H21" s="26">
        <f t="shared" si="5"/>
        <v>0.19565930290776001</v>
      </c>
      <c r="I21" s="106">
        <v>1.4800000000000001E-2</v>
      </c>
      <c r="J21" s="27">
        <f t="shared" si="1"/>
        <v>18.366630731479201</v>
      </c>
      <c r="K21" s="21"/>
      <c r="L21" s="14"/>
      <c r="M21" s="164" t="s">
        <v>118</v>
      </c>
      <c r="Q21" s="213">
        <v>13.08</v>
      </c>
      <c r="R21" s="214">
        <v>13.08</v>
      </c>
      <c r="S21" s="215">
        <v>6.54</v>
      </c>
      <c r="T21" s="208">
        <f t="shared" si="6"/>
        <v>11.6785714285714</v>
      </c>
      <c r="U21" s="216">
        <v>154110</v>
      </c>
      <c r="V21" s="217">
        <v>52322</v>
      </c>
      <c r="W21" s="218">
        <v>53218</v>
      </c>
      <c r="X21" s="219">
        <f t="shared" si="2"/>
        <v>259650</v>
      </c>
      <c r="Y21" s="240">
        <f t="shared" si="7"/>
        <v>7.7633691507798996</v>
      </c>
      <c r="Z21" s="37">
        <f t="shared" si="8"/>
        <v>2.63574719815136</v>
      </c>
      <c r="AA21" s="241">
        <f t="shared" si="9"/>
        <v>1.34044182553437</v>
      </c>
      <c r="AB21" s="37">
        <f t="shared" si="10"/>
        <v>3.91318605815521</v>
      </c>
      <c r="AC21" s="242">
        <v>0.05</v>
      </c>
      <c r="AD21" s="243">
        <f t="shared" si="11"/>
        <v>0.19565930290776001</v>
      </c>
    </row>
    <row r="22" spans="2:30">
      <c r="B22" s="139">
        <v>45199</v>
      </c>
      <c r="C22" s="106">
        <f t="shared" si="4"/>
        <v>11.6785714285714</v>
      </c>
      <c r="D22" s="106">
        <v>0.08</v>
      </c>
      <c r="E22" s="106">
        <v>4.16</v>
      </c>
      <c r="F22" s="106">
        <v>1.3797999999999999</v>
      </c>
      <c r="G22" s="106">
        <v>0.23</v>
      </c>
      <c r="H22" s="26">
        <f t="shared" si="5"/>
        <v>0.18626929080629301</v>
      </c>
      <c r="I22" s="106">
        <v>1.38E-2</v>
      </c>
      <c r="J22" s="27">
        <f t="shared" si="1"/>
        <v>17.728440719377701</v>
      </c>
      <c r="K22" s="21"/>
      <c r="L22" s="14"/>
      <c r="M22" s="164" t="s">
        <v>118</v>
      </c>
      <c r="Q22" s="213">
        <v>13.08</v>
      </c>
      <c r="R22" s="214">
        <v>13.08</v>
      </c>
      <c r="S22" s="215">
        <v>6.54</v>
      </c>
      <c r="T22" s="208">
        <f t="shared" si="6"/>
        <v>11.6785714285714</v>
      </c>
      <c r="U22" s="216">
        <v>178380</v>
      </c>
      <c r="V22" s="217">
        <v>52322</v>
      </c>
      <c r="W22" s="218">
        <v>94738</v>
      </c>
      <c r="X22" s="219">
        <f t="shared" si="2"/>
        <v>325440</v>
      </c>
      <c r="Y22" s="240">
        <f t="shared" si="7"/>
        <v>7.1694026548672598</v>
      </c>
      <c r="Z22" s="37">
        <f t="shared" si="8"/>
        <v>2.10291224188791</v>
      </c>
      <c r="AA22" s="241">
        <f t="shared" si="9"/>
        <v>1.90384255162242</v>
      </c>
      <c r="AB22" s="37">
        <f t="shared" si="10"/>
        <v>3.72538581612586</v>
      </c>
      <c r="AC22" s="242">
        <v>0.05</v>
      </c>
      <c r="AD22" s="243">
        <f t="shared" si="11"/>
        <v>0.18626929080629301</v>
      </c>
    </row>
    <row r="23" spans="2:30">
      <c r="B23" s="139">
        <v>45230</v>
      </c>
      <c r="C23" s="106">
        <f t="shared" si="4"/>
        <v>11.6785714285714</v>
      </c>
      <c r="D23" s="106">
        <v>0.08</v>
      </c>
      <c r="E23" s="106">
        <v>4.9400000000000004</v>
      </c>
      <c r="F23" s="106">
        <v>2.0528</v>
      </c>
      <c r="G23" s="106">
        <v>0.23</v>
      </c>
      <c r="H23" s="26">
        <f t="shared" si="5"/>
        <v>0.18179890116869901</v>
      </c>
      <c r="I23" s="106">
        <v>1.3599999999999999E-2</v>
      </c>
      <c r="J23" s="27">
        <f t="shared" si="1"/>
        <v>19.176770329740101</v>
      </c>
      <c r="K23" s="21"/>
      <c r="L23" s="14"/>
      <c r="M23" s="164" t="s">
        <v>118</v>
      </c>
      <c r="Q23" s="213">
        <v>13.08</v>
      </c>
      <c r="R23" s="214">
        <v>13.08</v>
      </c>
      <c r="S23" s="215">
        <v>6.54</v>
      </c>
      <c r="T23" s="208">
        <f t="shared" si="6"/>
        <v>11.6785714285714</v>
      </c>
      <c r="U23" s="216">
        <v>157980</v>
      </c>
      <c r="V23" s="217">
        <v>52322</v>
      </c>
      <c r="W23" s="218">
        <v>104578</v>
      </c>
      <c r="X23" s="219">
        <f t="shared" si="2"/>
        <v>314880</v>
      </c>
      <c r="Y23" s="240">
        <f t="shared" si="7"/>
        <v>6.56243140243902</v>
      </c>
      <c r="Z23" s="37">
        <f t="shared" si="8"/>
        <v>2.17343673780488</v>
      </c>
      <c r="AA23" s="241">
        <f t="shared" si="9"/>
        <v>2.17206592987805</v>
      </c>
      <c r="AB23" s="37">
        <f t="shared" si="10"/>
        <v>3.6359780233739798</v>
      </c>
      <c r="AC23" s="242">
        <v>0.05</v>
      </c>
      <c r="AD23" s="243">
        <f t="shared" si="11"/>
        <v>0.18179890116869901</v>
      </c>
    </row>
    <row r="24" spans="2:30">
      <c r="B24" s="139">
        <v>45260</v>
      </c>
      <c r="C24" s="106">
        <f t="shared" si="4"/>
        <v>11.6785714285714</v>
      </c>
      <c r="D24" s="106">
        <v>0.08</v>
      </c>
      <c r="E24" s="106">
        <v>5.74</v>
      </c>
      <c r="F24" s="106">
        <v>0.80030000000000001</v>
      </c>
      <c r="G24" s="106">
        <v>0.23</v>
      </c>
      <c r="H24" s="26">
        <f t="shared" si="5"/>
        <v>0.17789354549292799</v>
      </c>
      <c r="I24" s="106">
        <v>1.0999999999999999E-2</v>
      </c>
      <c r="J24" s="27">
        <f t="shared" si="1"/>
        <v>18.717764974064401</v>
      </c>
      <c r="K24" s="21"/>
      <c r="L24" s="14"/>
      <c r="M24" s="164" t="s">
        <v>118</v>
      </c>
      <c r="Q24" s="213">
        <v>13.08</v>
      </c>
      <c r="R24" s="214">
        <v>13.08</v>
      </c>
      <c r="S24" s="215">
        <v>6.54</v>
      </c>
      <c r="T24" s="208">
        <f t="shared" si="6"/>
        <v>11.6785714285714</v>
      </c>
      <c r="U24" s="216">
        <v>187200</v>
      </c>
      <c r="V24" s="217">
        <v>52322</v>
      </c>
      <c r="W24" s="218">
        <v>139438</v>
      </c>
      <c r="X24" s="219">
        <f t="shared" si="2"/>
        <v>378960</v>
      </c>
      <c r="Y24" s="240">
        <f t="shared" si="7"/>
        <v>6.4613046231792302</v>
      </c>
      <c r="Z24" s="37">
        <f t="shared" si="8"/>
        <v>1.8059208359721299</v>
      </c>
      <c r="AA24" s="241">
        <f t="shared" si="9"/>
        <v>2.4063872704243199</v>
      </c>
      <c r="AB24" s="37">
        <f t="shared" si="10"/>
        <v>3.5578709098585599</v>
      </c>
      <c r="AC24" s="242">
        <v>0.05</v>
      </c>
      <c r="AD24" s="243">
        <f t="shared" si="11"/>
        <v>0.17789354549292799</v>
      </c>
    </row>
    <row r="25" spans="2:30">
      <c r="B25" s="139">
        <v>45291</v>
      </c>
      <c r="C25" s="106">
        <f t="shared" si="4"/>
        <v>11.6785714285714</v>
      </c>
      <c r="D25" s="106">
        <v>0.08</v>
      </c>
      <c r="E25" s="106">
        <v>3.98</v>
      </c>
      <c r="F25" s="106">
        <v>3.1686999999999999</v>
      </c>
      <c r="G25" s="106">
        <v>0.23</v>
      </c>
      <c r="H25" s="26">
        <f t="shared" si="5"/>
        <v>0.17230035753836401</v>
      </c>
      <c r="I25" s="106">
        <v>1.5800000000000002E-2</v>
      </c>
      <c r="J25" s="27">
        <f t="shared" si="1"/>
        <v>19.325371786109802</v>
      </c>
      <c r="K25" s="21"/>
      <c r="L25" s="14"/>
      <c r="M25" s="164" t="s">
        <v>118</v>
      </c>
      <c r="Q25" s="213">
        <v>13.08</v>
      </c>
      <c r="R25" s="214">
        <v>13.08</v>
      </c>
      <c r="S25" s="215">
        <v>6.54</v>
      </c>
      <c r="T25" s="208">
        <f t="shared" si="6"/>
        <v>11.6785714285714</v>
      </c>
      <c r="U25" s="216">
        <v>131220</v>
      </c>
      <c r="V25" s="217">
        <v>52322</v>
      </c>
      <c r="W25" s="218">
        <v>132508</v>
      </c>
      <c r="X25" s="219">
        <f t="shared" si="2"/>
        <v>316050</v>
      </c>
      <c r="Y25" s="240">
        <f t="shared" si="7"/>
        <v>5.4306521120075901</v>
      </c>
      <c r="Z25" s="37">
        <f t="shared" si="8"/>
        <v>2.16539079259611</v>
      </c>
      <c r="AA25" s="241">
        <f t="shared" si="9"/>
        <v>2.74197854769815</v>
      </c>
      <c r="AB25" s="37">
        <f t="shared" si="10"/>
        <v>3.4460071507672798</v>
      </c>
      <c r="AC25" s="242">
        <v>0.05</v>
      </c>
      <c r="AD25" s="243">
        <f t="shared" si="11"/>
        <v>0.17230035753836401</v>
      </c>
    </row>
    <row r="26" spans="2:30">
      <c r="B26" s="139">
        <v>45322</v>
      </c>
      <c r="C26" s="106">
        <f t="shared" si="4"/>
        <v>11.6785714285714</v>
      </c>
      <c r="D26" s="106">
        <v>0.08</v>
      </c>
      <c r="E26" s="106">
        <v>4.33</v>
      </c>
      <c r="F26" s="106">
        <v>6.4634</v>
      </c>
      <c r="G26" s="106">
        <v>0.33</v>
      </c>
      <c r="H26" s="26">
        <f t="shared" si="5"/>
        <v>0.168379337547161</v>
      </c>
      <c r="I26" s="106">
        <v>1.5100000000000001E-2</v>
      </c>
      <c r="J26" s="27">
        <f t="shared" si="1"/>
        <v>23.065450766118602</v>
      </c>
      <c r="K26" s="21"/>
      <c r="L26" s="14"/>
      <c r="M26" s="164" t="s">
        <v>118</v>
      </c>
      <c r="Q26" s="213">
        <v>13.08</v>
      </c>
      <c r="R26" s="214">
        <v>13.08</v>
      </c>
      <c r="S26" s="215">
        <v>6.54</v>
      </c>
      <c r="T26" s="208">
        <f t="shared" si="6"/>
        <v>11.6785714285714</v>
      </c>
      <c r="U26" s="216">
        <v>170040</v>
      </c>
      <c r="V26" s="217">
        <v>52322</v>
      </c>
      <c r="W26" s="218">
        <v>185818</v>
      </c>
      <c r="X26" s="219">
        <f t="shared" si="2"/>
        <v>408180</v>
      </c>
      <c r="Y26" s="240">
        <f t="shared" si="7"/>
        <v>5.4488784359841196</v>
      </c>
      <c r="Z26" s="37">
        <f t="shared" si="8"/>
        <v>1.6766420696751401</v>
      </c>
      <c r="AA26" s="241">
        <f t="shared" si="9"/>
        <v>2.97723974717037</v>
      </c>
      <c r="AB26" s="37">
        <f t="shared" si="10"/>
        <v>3.36758675094321</v>
      </c>
      <c r="AC26" s="242">
        <v>0.05</v>
      </c>
      <c r="AD26" s="243">
        <f t="shared" si="11"/>
        <v>0.168379337547161</v>
      </c>
    </row>
    <row r="27" spans="2:30">
      <c r="B27" s="139">
        <v>45351</v>
      </c>
      <c r="C27" s="106">
        <f t="shared" si="4"/>
        <v>11.6785714285714</v>
      </c>
      <c r="D27" s="106">
        <v>0.08</v>
      </c>
      <c r="E27" s="106">
        <v>4.1399999999999997</v>
      </c>
      <c r="F27" s="106">
        <v>3.2185000000000001</v>
      </c>
      <c r="G27" s="106">
        <v>0.33</v>
      </c>
      <c r="H27" s="106">
        <f t="shared" si="5"/>
        <v>0.16912852386897301</v>
      </c>
      <c r="I27" s="106">
        <v>1.3299999999999999E-2</v>
      </c>
      <c r="J27" s="145">
        <f t="shared" si="1"/>
        <v>19.629499952440401</v>
      </c>
      <c r="L27" s="2"/>
      <c r="M27" s="164" t="s">
        <v>118</v>
      </c>
      <c r="Q27" s="220">
        <v>13.08</v>
      </c>
      <c r="R27" s="221">
        <v>13.08</v>
      </c>
      <c r="S27" s="222">
        <v>6.54</v>
      </c>
      <c r="T27" s="208">
        <f t="shared" si="6"/>
        <v>11.6785714285714</v>
      </c>
      <c r="U27" s="223">
        <v>133260</v>
      </c>
      <c r="V27" s="224">
        <v>52322</v>
      </c>
      <c r="W27" s="225">
        <v>150838</v>
      </c>
      <c r="X27" s="226">
        <f t="shared" si="2"/>
        <v>336420</v>
      </c>
      <c r="Y27" s="244">
        <f t="shared" si="7"/>
        <v>5.1811449973247701</v>
      </c>
      <c r="Z27" s="245">
        <f t="shared" si="8"/>
        <v>2.0342778669520198</v>
      </c>
      <c r="AA27" s="246">
        <f t="shared" si="9"/>
        <v>2.9322885678616002</v>
      </c>
      <c r="AB27" s="245">
        <f t="shared" si="10"/>
        <v>3.38257047737947</v>
      </c>
      <c r="AC27" s="247">
        <v>0.05</v>
      </c>
      <c r="AD27" s="248">
        <f t="shared" si="11"/>
        <v>0.16912852386897301</v>
      </c>
    </row>
    <row r="28" spans="2:30">
      <c r="B28" s="101">
        <v>45382</v>
      </c>
      <c r="C28" s="148">
        <f t="shared" si="4"/>
        <v>11.6785714285714</v>
      </c>
      <c r="D28" s="148">
        <v>0.08</v>
      </c>
      <c r="E28" s="148">
        <v>3.64</v>
      </c>
      <c r="F28" s="148">
        <v>3.6804000000000001</v>
      </c>
      <c r="G28" s="148">
        <v>0.33</v>
      </c>
      <c r="H28" s="148">
        <f t="shared" si="5"/>
        <v>0.21335873441008599</v>
      </c>
      <c r="I28" s="148">
        <v>1.4500000000000001E-2</v>
      </c>
      <c r="J28" s="149">
        <f t="shared" si="1"/>
        <v>19.6368301629815</v>
      </c>
      <c r="K28" s="194"/>
      <c r="L28" s="195"/>
      <c r="M28" s="164"/>
      <c r="Q28" s="227">
        <v>13.08</v>
      </c>
      <c r="R28" s="228">
        <v>13.08</v>
      </c>
      <c r="S28" s="229">
        <v>6.54</v>
      </c>
      <c r="T28" s="230">
        <f t="shared" si="6"/>
        <v>11.6785714285714</v>
      </c>
      <c r="U28" s="231">
        <f>144240</f>
        <v>144240</v>
      </c>
      <c r="V28" s="232">
        <v>209651</v>
      </c>
      <c r="W28" s="233">
        <v>15739</v>
      </c>
      <c r="X28" s="219">
        <f t="shared" si="2"/>
        <v>369630</v>
      </c>
      <c r="Y28" s="235">
        <f t="shared" si="7"/>
        <v>5.1041831020209401</v>
      </c>
      <c r="Z28" s="236">
        <f t="shared" si="8"/>
        <v>7.4188650271893497</v>
      </c>
      <c r="AA28" s="237">
        <f t="shared" si="9"/>
        <v>0.27847593539485399</v>
      </c>
      <c r="AB28" s="37">
        <f t="shared" si="10"/>
        <v>4.2671746882017203</v>
      </c>
      <c r="AC28" s="242">
        <v>0.05</v>
      </c>
      <c r="AD28" s="249">
        <f t="shared" si="11"/>
        <v>0.21335873441008599</v>
      </c>
    </row>
    <row r="29" spans="2:30">
      <c r="B29" s="15">
        <v>45412</v>
      </c>
      <c r="C29" s="150">
        <f t="shared" si="4"/>
        <v>11.6785714285714</v>
      </c>
      <c r="D29" s="150">
        <v>0.08</v>
      </c>
      <c r="E29" s="150">
        <v>3.26</v>
      </c>
      <c r="F29" s="150">
        <v>1.9584999999999999</v>
      </c>
      <c r="G29" s="150">
        <v>0.33</v>
      </c>
      <c r="H29" s="150">
        <f t="shared" si="5"/>
        <v>0.20934477516279501</v>
      </c>
      <c r="I29" s="150">
        <v>1.5100000000000001E-2</v>
      </c>
      <c r="J29" s="151">
        <f t="shared" si="1"/>
        <v>17.531516203734199</v>
      </c>
      <c r="K29" s="196"/>
      <c r="L29" s="197"/>
      <c r="M29" s="164"/>
      <c r="Q29" s="213">
        <v>13.08</v>
      </c>
      <c r="R29" s="214">
        <v>13.08</v>
      </c>
      <c r="S29" s="215">
        <v>6.54</v>
      </c>
      <c r="T29" s="208">
        <f t="shared" ref="T29:T35" si="12">AVERAGE(Q29:R29)*$Q$10+S29*$Q$11</f>
        <v>11.6785714285714</v>
      </c>
      <c r="U29" s="216">
        <v>178140</v>
      </c>
      <c r="V29" s="217">
        <f>180947</f>
        <v>180947</v>
      </c>
      <c r="W29" s="218">
        <v>30973</v>
      </c>
      <c r="X29" s="219">
        <f t="shared" ref="X29:X39" si="13">SUM(U29:W29)</f>
        <v>390060</v>
      </c>
      <c r="Y29" s="240">
        <f t="shared" si="7"/>
        <v>5.9736225196123698</v>
      </c>
      <c r="Z29" s="37">
        <f t="shared" si="8"/>
        <v>6.0677504999230898</v>
      </c>
      <c r="AA29" s="241">
        <f t="shared" si="9"/>
        <v>0.51931349023227202</v>
      </c>
      <c r="AB29" s="37">
        <f t="shared" si="10"/>
        <v>4.1868955032559096</v>
      </c>
      <c r="AC29" s="242">
        <v>0.05</v>
      </c>
      <c r="AD29" s="249">
        <f t="shared" si="11"/>
        <v>0.20934477516279501</v>
      </c>
    </row>
    <row r="30" spans="2:30">
      <c r="B30" s="15">
        <v>45443</v>
      </c>
      <c r="C30" s="150">
        <f t="shared" si="4"/>
        <v>11.6785714285714</v>
      </c>
      <c r="D30" s="150">
        <v>0.08</v>
      </c>
      <c r="E30" s="150">
        <v>3.52</v>
      </c>
      <c r="F30" s="150">
        <v>0.96919999999999995</v>
      </c>
      <c r="G30" s="150">
        <v>0.33</v>
      </c>
      <c r="H30" s="150">
        <f t="shared" si="5"/>
        <v>0.20627995564892601</v>
      </c>
      <c r="I30" s="150">
        <v>1.9599999999999999E-2</v>
      </c>
      <c r="J30" s="151">
        <f t="shared" si="1"/>
        <v>16.803651384220402</v>
      </c>
      <c r="K30" s="196"/>
      <c r="L30" s="197"/>
      <c r="M30" s="164"/>
      <c r="Q30" s="213">
        <v>13.08</v>
      </c>
      <c r="R30" s="214">
        <v>13.08</v>
      </c>
      <c r="S30" s="215">
        <v>6.54</v>
      </c>
      <c r="T30" s="208">
        <f t="shared" si="12"/>
        <v>11.6785714285714</v>
      </c>
      <c r="U30" s="216">
        <v>201390</v>
      </c>
      <c r="V30" s="217">
        <v>180947</v>
      </c>
      <c r="W30" s="218">
        <v>46063</v>
      </c>
      <c r="X30" s="219">
        <f t="shared" si="13"/>
        <v>428400</v>
      </c>
      <c r="Y30" s="240">
        <f t="shared" ref="Y30:Y39" si="14">Q30*(U30/$X30)</f>
        <v>6.1488823529411798</v>
      </c>
      <c r="Z30" s="37">
        <f t="shared" ref="Z30:Z39" si="15">R30*(V30/$X30)</f>
        <v>5.5247123249299701</v>
      </c>
      <c r="AA30" s="241">
        <f t="shared" ref="AA30:AA37" si="16">S30*(W30/$X30)</f>
        <v>0.70320266106442597</v>
      </c>
      <c r="AB30" s="37">
        <f t="shared" ref="AB30:AB35" si="17">AVERAGE(Y30:AA30)</f>
        <v>4.1255991129785201</v>
      </c>
      <c r="AC30" s="242">
        <v>0.05</v>
      </c>
      <c r="AD30" s="249">
        <f t="shared" si="11"/>
        <v>0.20627995564892601</v>
      </c>
    </row>
    <row r="31" spans="2:30">
      <c r="B31" s="15">
        <v>45473</v>
      </c>
      <c r="C31" s="150">
        <f t="shared" si="4"/>
        <v>11.6785714285714</v>
      </c>
      <c r="D31" s="150">
        <v>0.08</v>
      </c>
      <c r="E31" s="150">
        <v>3.59</v>
      </c>
      <c r="F31" s="150">
        <v>1.76</v>
      </c>
      <c r="G31" s="150">
        <v>0.33</v>
      </c>
      <c r="H31" s="150">
        <f t="shared" si="5"/>
        <v>0.195180578617834</v>
      </c>
      <c r="I31" s="150">
        <v>1.83E-2</v>
      </c>
      <c r="J31" s="151">
        <f t="shared" si="1"/>
        <v>17.652052007189301</v>
      </c>
      <c r="K31" s="196"/>
      <c r="L31" s="197"/>
      <c r="M31" s="164"/>
      <c r="Q31" s="213">
        <v>13.08</v>
      </c>
      <c r="R31" s="214">
        <v>13.08</v>
      </c>
      <c r="S31" s="215">
        <v>6.54</v>
      </c>
      <c r="T31" s="208">
        <f t="shared" si="12"/>
        <v>11.6785714285714</v>
      </c>
      <c r="U31" s="216">
        <v>221880</v>
      </c>
      <c r="V31" s="217">
        <v>180947</v>
      </c>
      <c r="W31" s="218">
        <v>106663</v>
      </c>
      <c r="X31" s="219">
        <f t="shared" si="13"/>
        <v>509490</v>
      </c>
      <c r="Y31" s="240">
        <f t="shared" si="14"/>
        <v>5.6962656774421498</v>
      </c>
      <c r="Z31" s="37">
        <f t="shared" si="15"/>
        <v>4.6454037566978696</v>
      </c>
      <c r="AA31" s="241">
        <f t="shared" si="16"/>
        <v>1.3691652829299901</v>
      </c>
      <c r="AB31" s="37">
        <f t="shared" si="17"/>
        <v>3.9036115723566698</v>
      </c>
      <c r="AC31" s="242">
        <v>0.05</v>
      </c>
      <c r="AD31" s="249">
        <f t="shared" si="11"/>
        <v>0.195180578617834</v>
      </c>
    </row>
    <row r="32" spans="2:30">
      <c r="B32" s="15">
        <v>45504</v>
      </c>
      <c r="C32" s="150">
        <f t="shared" si="4"/>
        <v>11.1071428571429</v>
      </c>
      <c r="D32" s="150">
        <v>0.08</v>
      </c>
      <c r="E32" s="150">
        <v>3.25</v>
      </c>
      <c r="F32" s="150">
        <v>0.98329999999999995</v>
      </c>
      <c r="G32" s="150">
        <v>0.38</v>
      </c>
      <c r="H32" s="150">
        <f t="shared" si="5"/>
        <v>0.18826066077866299</v>
      </c>
      <c r="I32" s="150">
        <v>1.6899999999999998E-2</v>
      </c>
      <c r="J32" s="151">
        <f t="shared" si="1"/>
        <v>16.0056035179215</v>
      </c>
      <c r="K32" s="196"/>
      <c r="L32" s="197"/>
      <c r="M32" s="164"/>
      <c r="Q32" s="213">
        <v>12.44</v>
      </c>
      <c r="R32" s="214">
        <v>12.44</v>
      </c>
      <c r="S32" s="215">
        <v>6.22</v>
      </c>
      <c r="T32" s="208">
        <f t="shared" si="12"/>
        <v>11.1071428571429</v>
      </c>
      <c r="U32" s="216">
        <v>255150</v>
      </c>
      <c r="V32" s="217">
        <v>180947</v>
      </c>
      <c r="W32" s="218">
        <v>98323</v>
      </c>
      <c r="X32" s="219">
        <f t="shared" si="13"/>
        <v>534420</v>
      </c>
      <c r="Y32" s="240">
        <f t="shared" si="14"/>
        <v>5.9392724823172802</v>
      </c>
      <c r="Z32" s="37">
        <f t="shared" si="15"/>
        <v>4.2120068111223397</v>
      </c>
      <c r="AA32" s="241">
        <f t="shared" si="16"/>
        <v>1.14436035328019</v>
      </c>
      <c r="AB32" s="37">
        <f t="shared" si="17"/>
        <v>3.76521321557327</v>
      </c>
      <c r="AC32" s="242">
        <v>0.05</v>
      </c>
      <c r="AD32" s="249">
        <f t="shared" si="11"/>
        <v>0.18826066077866299</v>
      </c>
    </row>
    <row r="33" spans="1:31">
      <c r="B33" s="15">
        <v>45535</v>
      </c>
      <c r="C33" s="150">
        <f t="shared" si="4"/>
        <v>12.44</v>
      </c>
      <c r="D33" s="150">
        <v>0.08</v>
      </c>
      <c r="E33" s="150">
        <v>3.48</v>
      </c>
      <c r="F33" s="150">
        <v>1.171</v>
      </c>
      <c r="G33" s="150">
        <v>0.38</v>
      </c>
      <c r="H33" s="150">
        <f t="shared" si="5"/>
        <v>0.311</v>
      </c>
      <c r="I33" s="150">
        <v>1.78E-2</v>
      </c>
      <c r="J33" s="151">
        <f t="shared" si="1"/>
        <v>17.879799999999999</v>
      </c>
      <c r="K33" s="196"/>
      <c r="L33" s="197"/>
      <c r="M33" s="164"/>
      <c r="Q33" s="213">
        <v>12.44</v>
      </c>
      <c r="R33" s="214">
        <v>12.44</v>
      </c>
      <c r="S33" s="215">
        <v>0</v>
      </c>
      <c r="T33" s="208">
        <f>AVERAGE(Q33:R33)</f>
        <v>12.44</v>
      </c>
      <c r="U33" s="216">
        <v>207930</v>
      </c>
      <c r="V33" s="217">
        <v>245430</v>
      </c>
      <c r="W33" s="218">
        <v>0</v>
      </c>
      <c r="X33" s="219">
        <f t="shared" si="13"/>
        <v>453360</v>
      </c>
      <c r="Y33" s="240">
        <f t="shared" si="14"/>
        <v>5.7055082053996804</v>
      </c>
      <c r="Z33" s="37">
        <f t="shared" si="15"/>
        <v>6.73449179460032</v>
      </c>
      <c r="AA33" s="241">
        <f t="shared" si="16"/>
        <v>0</v>
      </c>
      <c r="AB33" s="37">
        <f>AVERAGE(Y33:Z33)</f>
        <v>6.22</v>
      </c>
      <c r="AC33" s="242">
        <v>0.05</v>
      </c>
      <c r="AD33" s="249">
        <f t="shared" si="11"/>
        <v>0.311</v>
      </c>
      <c r="AE33" t="s">
        <v>203</v>
      </c>
    </row>
    <row r="34" spans="1:31">
      <c r="B34" s="15">
        <v>45565</v>
      </c>
      <c r="C34" s="150">
        <f t="shared" si="4"/>
        <v>12.44</v>
      </c>
      <c r="D34" s="150">
        <v>0.08</v>
      </c>
      <c r="E34" s="150">
        <v>3.43</v>
      </c>
      <c r="F34" s="150">
        <v>1.0331999999999999</v>
      </c>
      <c r="G34" s="150">
        <v>0.38</v>
      </c>
      <c r="H34" s="150">
        <f t="shared" si="5"/>
        <v>0.311</v>
      </c>
      <c r="I34" s="150">
        <v>1.5599999999999999E-2</v>
      </c>
      <c r="J34" s="151">
        <f t="shared" si="1"/>
        <v>17.689800000000002</v>
      </c>
      <c r="K34" s="196"/>
      <c r="L34" s="197"/>
      <c r="M34" s="164"/>
      <c r="Q34" s="213">
        <v>12.44</v>
      </c>
      <c r="R34" s="214">
        <v>12.44</v>
      </c>
      <c r="S34" s="215">
        <v>0</v>
      </c>
      <c r="T34" s="208">
        <f>AVERAGE(Q34:R34)</f>
        <v>12.44</v>
      </c>
      <c r="U34" s="216">
        <v>166770</v>
      </c>
      <c r="V34" s="217">
        <v>258780</v>
      </c>
      <c r="W34" s="218">
        <v>0</v>
      </c>
      <c r="X34" s="219">
        <f t="shared" si="13"/>
        <v>425550</v>
      </c>
      <c r="Y34" s="240">
        <f t="shared" si="14"/>
        <v>4.8751469862530801</v>
      </c>
      <c r="Z34" s="37">
        <f t="shared" si="15"/>
        <v>7.5648530137469203</v>
      </c>
      <c r="AA34" s="241">
        <f t="shared" si="16"/>
        <v>0</v>
      </c>
      <c r="AB34" s="37">
        <f>AVERAGE(Y34:Z34)</f>
        <v>6.22</v>
      </c>
      <c r="AC34" s="242">
        <v>0.05</v>
      </c>
      <c r="AD34" s="249">
        <f t="shared" si="11"/>
        <v>0.311</v>
      </c>
      <c r="AE34" t="s">
        <v>203</v>
      </c>
    </row>
    <row r="35" spans="1:31">
      <c r="B35" s="15">
        <v>45596</v>
      </c>
      <c r="C35" s="150">
        <f t="shared" si="4"/>
        <v>11.1071428571429</v>
      </c>
      <c r="D35" s="150">
        <v>0.08</v>
      </c>
      <c r="E35" s="150">
        <v>3.39</v>
      </c>
      <c r="F35" s="150">
        <v>1.1489</v>
      </c>
      <c r="G35" s="150">
        <v>0.38</v>
      </c>
      <c r="H35" s="150">
        <f t="shared" si="5"/>
        <v>0.20633611285528899</v>
      </c>
      <c r="I35" s="150">
        <v>1.3899999999999999E-2</v>
      </c>
      <c r="J35" s="151">
        <f t="shared" si="1"/>
        <v>16.3262789699981</v>
      </c>
      <c r="K35" s="196"/>
      <c r="L35" s="197"/>
      <c r="M35" s="164"/>
      <c r="Q35" s="213">
        <v>12.44</v>
      </c>
      <c r="R35" s="214">
        <v>12.44</v>
      </c>
      <c r="S35" s="215">
        <v>6.22</v>
      </c>
      <c r="T35" s="208">
        <f t="shared" si="12"/>
        <v>11.1071428571429</v>
      </c>
      <c r="U35" s="216">
        <v>202530</v>
      </c>
      <c r="V35" s="217">
        <v>270654</v>
      </c>
      <c r="W35" s="218">
        <v>4596</v>
      </c>
      <c r="X35" s="219">
        <f t="shared" si="13"/>
        <v>477780</v>
      </c>
      <c r="Y35" s="240">
        <f t="shared" si="14"/>
        <v>5.2732914730629199</v>
      </c>
      <c r="Z35" s="37">
        <f t="shared" si="15"/>
        <v>7.0470420695717699</v>
      </c>
      <c r="AA35" s="241">
        <f t="shared" si="16"/>
        <v>5.9833228682657301E-2</v>
      </c>
      <c r="AB35" s="37">
        <f t="shared" si="17"/>
        <v>4.1267222571057802</v>
      </c>
      <c r="AC35" s="242">
        <v>0.05</v>
      </c>
      <c r="AD35" s="249">
        <f t="shared" si="11"/>
        <v>0.20633611285528899</v>
      </c>
    </row>
    <row r="36" spans="1:31">
      <c r="B36" s="15">
        <v>45626</v>
      </c>
      <c r="C36" s="150">
        <f t="shared" si="4"/>
        <v>12.44</v>
      </c>
      <c r="D36" s="150">
        <v>0.08</v>
      </c>
      <c r="E36" s="150">
        <v>3.72</v>
      </c>
      <c r="F36" s="150">
        <v>0.69040000000000001</v>
      </c>
      <c r="G36" s="150">
        <v>0.38</v>
      </c>
      <c r="H36" s="150">
        <f t="shared" si="5"/>
        <v>0.311</v>
      </c>
      <c r="I36" s="150">
        <v>1.34E-2</v>
      </c>
      <c r="J36" s="151">
        <f t="shared" si="1"/>
        <v>17.634799999999998</v>
      </c>
      <c r="K36" s="196"/>
      <c r="L36" s="197"/>
      <c r="M36" s="164"/>
      <c r="Q36" s="213">
        <v>12.44</v>
      </c>
      <c r="R36" s="214">
        <v>12.44</v>
      </c>
      <c r="S36" s="215">
        <v>0</v>
      </c>
      <c r="T36" s="208">
        <f>AVERAGE(Q36:R36)</f>
        <v>12.44</v>
      </c>
      <c r="U36" s="216">
        <v>190230</v>
      </c>
      <c r="V36" s="217">
        <v>276090</v>
      </c>
      <c r="W36" s="218">
        <v>0</v>
      </c>
      <c r="X36" s="219">
        <f t="shared" si="13"/>
        <v>466320</v>
      </c>
      <c r="Y36" s="240">
        <f t="shared" si="14"/>
        <v>5.07475810602162</v>
      </c>
      <c r="Z36" s="37">
        <f t="shared" si="15"/>
        <v>7.3652418939783804</v>
      </c>
      <c r="AA36" s="241">
        <f t="shared" si="16"/>
        <v>0</v>
      </c>
      <c r="AB36" s="37">
        <f>AVERAGE(Y36:Z36)</f>
        <v>6.22</v>
      </c>
      <c r="AC36" s="242">
        <v>0.05</v>
      </c>
      <c r="AD36" s="249">
        <f t="shared" si="11"/>
        <v>0.311</v>
      </c>
      <c r="AE36" t="s">
        <v>203</v>
      </c>
    </row>
    <row r="37" spans="1:31">
      <c r="B37" s="15">
        <v>45657</v>
      </c>
      <c r="C37" s="150">
        <f t="shared" si="4"/>
        <v>12.44</v>
      </c>
      <c r="D37" s="150">
        <v>0.08</v>
      </c>
      <c r="E37" s="150">
        <v>3.57</v>
      </c>
      <c r="F37" s="150">
        <v>1.014</v>
      </c>
      <c r="G37" s="150">
        <v>0.38</v>
      </c>
      <c r="H37" s="150">
        <f t="shared" si="5"/>
        <v>0.311</v>
      </c>
      <c r="I37" s="150">
        <v>1.35E-2</v>
      </c>
      <c r="J37" s="151">
        <f t="shared" si="1"/>
        <v>17.808499999999999</v>
      </c>
      <c r="K37" s="196"/>
      <c r="L37" s="197"/>
      <c r="M37" s="164"/>
      <c r="Q37" s="213">
        <v>12.44</v>
      </c>
      <c r="R37" s="214">
        <v>12.44</v>
      </c>
      <c r="S37" s="215">
        <v>0</v>
      </c>
      <c r="T37" s="208">
        <f>AVERAGE(Q37:R37)</f>
        <v>12.44</v>
      </c>
      <c r="U37" s="216">
        <v>115680</v>
      </c>
      <c r="V37" s="217">
        <v>177660</v>
      </c>
      <c r="W37" s="218">
        <v>0</v>
      </c>
      <c r="X37" s="219">
        <f t="shared" si="13"/>
        <v>293340</v>
      </c>
      <c r="Y37" s="240">
        <f t="shared" si="14"/>
        <v>4.90577214154224</v>
      </c>
      <c r="Z37" s="37">
        <f t="shared" si="15"/>
        <v>7.5342278584577604</v>
      </c>
      <c r="AA37" s="241">
        <f t="shared" si="16"/>
        <v>0</v>
      </c>
      <c r="AB37" s="37">
        <f>AVERAGE(Y37:Z37)</f>
        <v>6.22</v>
      </c>
      <c r="AC37" s="242">
        <v>0.05</v>
      </c>
      <c r="AD37" s="249">
        <f t="shared" ref="AD37" si="18">AB37*AC37</f>
        <v>0.311</v>
      </c>
      <c r="AE37" t="s">
        <v>203</v>
      </c>
    </row>
    <row r="38" spans="1:31">
      <c r="B38" s="15">
        <v>45688</v>
      </c>
      <c r="C38" s="150">
        <f t="shared" si="4"/>
        <v>12.44</v>
      </c>
      <c r="D38" s="150">
        <v>0.08</v>
      </c>
      <c r="E38" s="150">
        <v>3.55</v>
      </c>
      <c r="F38" s="150">
        <v>0.83030000000000004</v>
      </c>
      <c r="G38" s="150">
        <v>0.38</v>
      </c>
      <c r="H38" s="150">
        <f t="shared" si="5"/>
        <v>0.311</v>
      </c>
      <c r="I38" s="150">
        <v>1.4500000000000001E-2</v>
      </c>
      <c r="J38" s="151">
        <f t="shared" si="1"/>
        <v>17.605799999999999</v>
      </c>
      <c r="K38" s="196"/>
      <c r="L38" s="197"/>
      <c r="M38" s="164"/>
      <c r="Q38" s="213">
        <v>12.44</v>
      </c>
      <c r="R38" s="214">
        <v>12.44</v>
      </c>
      <c r="S38" s="215">
        <v>0</v>
      </c>
      <c r="T38" s="208">
        <f>AVERAGE(Q38:R38)</f>
        <v>12.44</v>
      </c>
      <c r="U38" s="216">
        <v>259650</v>
      </c>
      <c r="V38" s="217">
        <v>115890</v>
      </c>
      <c r="W38" s="218">
        <v>0</v>
      </c>
      <c r="X38" s="219">
        <f t="shared" si="13"/>
        <v>375540</v>
      </c>
      <c r="Y38" s="240">
        <f t="shared" si="14"/>
        <v>8.6010704585397004</v>
      </c>
      <c r="Z38" s="37">
        <f t="shared" si="15"/>
        <v>3.8389295414603</v>
      </c>
      <c r="AA38" s="241">
        <f t="shared" ref="AA38" si="19">S38*(W38/$X38)</f>
        <v>0</v>
      </c>
      <c r="AB38" s="37">
        <f>AVERAGE(Y38:Z38)</f>
        <v>6.22</v>
      </c>
      <c r="AC38" s="242">
        <v>0.05</v>
      </c>
      <c r="AD38" s="249">
        <f t="shared" ref="AD38" si="20">AB38*AC38</f>
        <v>0.311</v>
      </c>
      <c r="AE38" t="s">
        <v>203</v>
      </c>
    </row>
    <row r="39" spans="1:31">
      <c r="B39" s="22">
        <v>45716</v>
      </c>
      <c r="C39" s="152">
        <f t="shared" si="4"/>
        <v>12.44</v>
      </c>
      <c r="D39" s="152">
        <v>0.08</v>
      </c>
      <c r="E39" s="152">
        <v>3.36</v>
      </c>
      <c r="F39" s="152">
        <v>0.69640000000000002</v>
      </c>
      <c r="G39" s="152">
        <v>0.4</v>
      </c>
      <c r="H39" s="152">
        <f t="shared" si="5"/>
        <v>0.311</v>
      </c>
      <c r="I39" s="152">
        <v>1.38E-2</v>
      </c>
      <c r="J39" s="153">
        <f t="shared" si="1"/>
        <v>17.301200000000001</v>
      </c>
      <c r="K39" s="198"/>
      <c r="L39" s="199"/>
      <c r="M39" s="164"/>
      <c r="Q39" s="213">
        <v>12.44</v>
      </c>
      <c r="R39" s="214">
        <v>12.44</v>
      </c>
      <c r="S39" s="215">
        <v>0</v>
      </c>
      <c r="T39" s="208">
        <f>AVERAGE(Q39:R39)</f>
        <v>12.44</v>
      </c>
      <c r="U39" s="223">
        <v>155940</v>
      </c>
      <c r="V39" s="224">
        <v>252210</v>
      </c>
      <c r="W39" s="225"/>
      <c r="X39" s="219">
        <f t="shared" si="13"/>
        <v>408150</v>
      </c>
      <c r="Y39" s="244">
        <f t="shared" si="14"/>
        <v>4.75289378904814</v>
      </c>
      <c r="Z39" s="245">
        <f t="shared" si="15"/>
        <v>7.6871062109518604</v>
      </c>
      <c r="AA39" s="246">
        <f t="shared" ref="AA39" si="21">S39*(W39/$X39)</f>
        <v>0</v>
      </c>
      <c r="AB39" s="37">
        <f>AVERAGE(Y39:Z39)</f>
        <v>6.22</v>
      </c>
      <c r="AC39" s="242">
        <v>0.05</v>
      </c>
      <c r="AD39" s="249">
        <f t="shared" ref="AD39" si="22">AB39*AC39</f>
        <v>0.311</v>
      </c>
      <c r="AE39" t="s">
        <v>203</v>
      </c>
    </row>
    <row r="41" spans="1:31">
      <c r="B41" t="s">
        <v>177</v>
      </c>
      <c r="C41" t="s">
        <v>204</v>
      </c>
      <c r="D41" s="186">
        <f>AVERAGE(J4:J15)</f>
        <v>15.825575000000001</v>
      </c>
    </row>
    <row r="42" spans="1:31">
      <c r="C42" t="s">
        <v>205</v>
      </c>
      <c r="D42" s="186">
        <f>AVERAGE(J16:J27)</f>
        <v>19.002242850607502</v>
      </c>
      <c r="E42" s="187">
        <f>(D42-D41)/D41</f>
        <v>0.20073001142817701</v>
      </c>
    </row>
    <row r="43" spans="1:31">
      <c r="C43" t="s">
        <v>206</v>
      </c>
      <c r="D43" s="186">
        <f>AVERAGE(J28:J39)</f>
        <v>17.489652687170398</v>
      </c>
      <c r="E43" s="187">
        <f>(D43-D42)/D42</f>
        <v>-7.9600612166089907E-2</v>
      </c>
    </row>
    <row r="47" spans="1:31">
      <c r="A47" s="29"/>
      <c r="B47" s="30" t="s">
        <v>130</v>
      </c>
      <c r="C47" s="29" t="s">
        <v>131</v>
      </c>
      <c r="D47" s="29">
        <v>129.42500000000001</v>
      </c>
      <c r="E47" s="29" t="s">
        <v>207</v>
      </c>
      <c r="F47" s="29"/>
      <c r="G47" s="29"/>
      <c r="H47" s="29"/>
    </row>
    <row r="48" spans="1:31" ht="14.5">
      <c r="A48" s="29"/>
      <c r="B48" s="35">
        <f>M54</f>
        <v>6.3037499999999996E-2</v>
      </c>
      <c r="C48" s="29" t="s">
        <v>133</v>
      </c>
      <c r="D48" s="188">
        <f>B48*$D$47</f>
        <v>8.1586284375000009</v>
      </c>
      <c r="E48" s="29" t="s">
        <v>134</v>
      </c>
      <c r="F48" s="29"/>
      <c r="G48" s="29"/>
      <c r="H48" s="29"/>
      <c r="L48" s="44" t="s">
        <v>124</v>
      </c>
      <c r="M48" s="44"/>
      <c r="N48" s="44"/>
      <c r="O48" s="39">
        <v>44965.875</v>
      </c>
    </row>
    <row r="49" spans="1:18">
      <c r="A49" s="29"/>
      <c r="B49" s="35">
        <f>N53</f>
        <v>0.21</v>
      </c>
      <c r="C49" s="29" t="s">
        <v>135</v>
      </c>
      <c r="D49" s="189">
        <f>B49*$D$47</f>
        <v>27.17925</v>
      </c>
      <c r="E49" s="29" t="s">
        <v>134</v>
      </c>
      <c r="F49" s="29"/>
      <c r="G49" s="29"/>
      <c r="H49" s="29"/>
    </row>
    <row r="50" spans="1:18">
      <c r="A50" s="29"/>
      <c r="B50" s="29"/>
      <c r="C50" s="29" t="s">
        <v>137</v>
      </c>
      <c r="D50" s="113">
        <v>0.55000000000000004</v>
      </c>
      <c r="E50" s="29"/>
      <c r="F50" s="29"/>
      <c r="G50" s="29"/>
      <c r="H50" s="29"/>
      <c r="L50" s="45" t="s">
        <v>125</v>
      </c>
      <c r="M50" s="45" t="s">
        <v>126</v>
      </c>
      <c r="N50" s="45" t="s">
        <v>127</v>
      </c>
      <c r="O50" s="45" t="s">
        <v>128</v>
      </c>
      <c r="P50" s="45" t="s">
        <v>129</v>
      </c>
    </row>
    <row r="51" spans="1:18">
      <c r="A51" s="29"/>
      <c r="B51" s="29"/>
      <c r="C51" s="115" t="s">
        <v>208</v>
      </c>
      <c r="D51" s="190">
        <f>D43*(1-D50)</f>
        <v>7.8703437092266899</v>
      </c>
      <c r="E51" s="115" t="s">
        <v>134</v>
      </c>
      <c r="F51" s="29"/>
      <c r="G51" s="29"/>
      <c r="H51" s="29"/>
      <c r="L51" s="47">
        <v>0</v>
      </c>
      <c r="O51" s="171">
        <f>O48</f>
        <v>44965.875</v>
      </c>
      <c r="P51" s="57"/>
      <c r="Q51" s="57" t="s">
        <v>7</v>
      </c>
      <c r="R51" s="57"/>
    </row>
    <row r="52" spans="1:18">
      <c r="L52" s="47">
        <v>1</v>
      </c>
      <c r="M52" s="50">
        <v>0.06</v>
      </c>
      <c r="N52" s="50">
        <v>0.21</v>
      </c>
      <c r="O52" s="25">
        <v>45350</v>
      </c>
      <c r="P52" s="200">
        <v>0</v>
      </c>
    </row>
    <row r="53" spans="1:18">
      <c r="B53" s="40" t="s">
        <v>139</v>
      </c>
      <c r="C53" s="40"/>
      <c r="D53" s="40"/>
      <c r="E53" s="40"/>
      <c r="F53" s="40"/>
      <c r="G53" s="40"/>
      <c r="H53" s="40"/>
      <c r="I53" s="40"/>
      <c r="J53" s="40"/>
      <c r="L53" s="47">
        <v>2</v>
      </c>
      <c r="M53" s="50">
        <f>M52*(1+$P53)</f>
        <v>6.1499999999999999E-2</v>
      </c>
      <c r="N53" s="50">
        <f>N52</f>
        <v>0.21</v>
      </c>
      <c r="O53" s="25">
        <f>EDATE(O52,12)</f>
        <v>45716</v>
      </c>
      <c r="P53" s="60">
        <v>2.5000000000000001E-2</v>
      </c>
      <c r="Q53" s="234"/>
    </row>
    <row r="54" spans="1:18">
      <c r="L54" s="48">
        <v>3</v>
      </c>
      <c r="M54" s="201">
        <f t="shared" ref="M54:M71" si="23">M53*(1+$P54)</f>
        <v>6.3037499999999996E-2</v>
      </c>
      <c r="N54" s="201">
        <f>N53</f>
        <v>0.21</v>
      </c>
      <c r="O54" s="58">
        <f t="shared" ref="O54:O71" si="24">EDATE(O53,12)</f>
        <v>46081</v>
      </c>
      <c r="P54" s="59">
        <v>2.5000000000000001E-2</v>
      </c>
      <c r="Q54" s="234" t="s">
        <v>209</v>
      </c>
    </row>
    <row r="55" spans="1:18">
      <c r="L55" s="47">
        <v>4</v>
      </c>
      <c r="M55" s="202">
        <f t="shared" si="23"/>
        <v>6.4613437499999996E-2</v>
      </c>
      <c r="N55" s="202">
        <f t="shared" ref="N55:N71" si="25">N54</f>
        <v>0.21</v>
      </c>
      <c r="O55" s="25">
        <f t="shared" si="24"/>
        <v>46446</v>
      </c>
      <c r="P55" s="60">
        <v>2.5000000000000001E-2</v>
      </c>
    </row>
    <row r="56" spans="1:18">
      <c r="L56" s="47">
        <v>5</v>
      </c>
      <c r="M56" s="202">
        <f t="shared" si="23"/>
        <v>6.6228773437499999E-2</v>
      </c>
      <c r="N56" s="202">
        <f t="shared" si="25"/>
        <v>0.21</v>
      </c>
      <c r="O56" s="25">
        <f t="shared" si="24"/>
        <v>46811</v>
      </c>
      <c r="P56" s="60">
        <v>2.5000000000000001E-2</v>
      </c>
    </row>
    <row r="57" spans="1:18">
      <c r="L57" s="47">
        <v>6</v>
      </c>
      <c r="M57" s="202">
        <f t="shared" si="23"/>
        <v>6.7884492773437499E-2</v>
      </c>
      <c r="N57" s="202">
        <f t="shared" si="25"/>
        <v>0.21</v>
      </c>
      <c r="O57" s="25">
        <f t="shared" si="24"/>
        <v>47177</v>
      </c>
      <c r="P57" s="60">
        <v>2.5000000000000001E-2</v>
      </c>
    </row>
    <row r="58" spans="1:18">
      <c r="L58" s="47">
        <v>7</v>
      </c>
      <c r="M58" s="202">
        <f t="shared" si="23"/>
        <v>6.9581605092773405E-2</v>
      </c>
      <c r="N58" s="202">
        <f t="shared" si="25"/>
        <v>0.21</v>
      </c>
      <c r="O58" s="25">
        <f t="shared" si="24"/>
        <v>47542</v>
      </c>
      <c r="P58" s="60">
        <v>2.5000000000000001E-2</v>
      </c>
    </row>
    <row r="59" spans="1:18">
      <c r="L59" s="47">
        <v>8</v>
      </c>
      <c r="M59" s="202">
        <f t="shared" si="23"/>
        <v>7.1321145220092697E-2</v>
      </c>
      <c r="N59" s="202">
        <f t="shared" si="25"/>
        <v>0.21</v>
      </c>
      <c r="O59" s="25">
        <f t="shared" si="24"/>
        <v>47907</v>
      </c>
      <c r="P59" s="60">
        <v>2.5000000000000001E-2</v>
      </c>
    </row>
    <row r="60" spans="1:18">
      <c r="L60" s="47">
        <v>9</v>
      </c>
      <c r="M60" s="202">
        <f t="shared" si="23"/>
        <v>7.3104173850595006E-2</v>
      </c>
      <c r="N60" s="202">
        <f t="shared" si="25"/>
        <v>0.21</v>
      </c>
      <c r="O60" s="25">
        <f t="shared" si="24"/>
        <v>48272</v>
      </c>
      <c r="P60" s="60">
        <v>2.5000000000000001E-2</v>
      </c>
    </row>
    <row r="61" spans="1:18">
      <c r="L61" s="47">
        <v>10</v>
      </c>
      <c r="M61" s="202">
        <f t="shared" si="23"/>
        <v>7.4931778196859894E-2</v>
      </c>
      <c r="N61" s="202">
        <f t="shared" si="25"/>
        <v>0.21</v>
      </c>
      <c r="O61" s="25">
        <f t="shared" si="24"/>
        <v>48638</v>
      </c>
      <c r="P61" s="60">
        <v>2.5000000000000001E-2</v>
      </c>
    </row>
    <row r="62" spans="1:18">
      <c r="L62" s="47">
        <v>11</v>
      </c>
      <c r="M62" s="202">
        <f t="shared" si="23"/>
        <v>7.6805072651781395E-2</v>
      </c>
      <c r="N62" s="202">
        <f t="shared" si="25"/>
        <v>0.21</v>
      </c>
      <c r="O62" s="25">
        <f t="shared" si="24"/>
        <v>49003</v>
      </c>
      <c r="P62" s="60">
        <v>2.5000000000000001E-2</v>
      </c>
    </row>
    <row r="63" spans="1:18">
      <c r="L63" s="47">
        <v>12</v>
      </c>
      <c r="M63" s="202">
        <f t="shared" si="23"/>
        <v>7.8725199468075893E-2</v>
      </c>
      <c r="N63" s="202">
        <f t="shared" si="25"/>
        <v>0.21</v>
      </c>
      <c r="O63" s="25">
        <f t="shared" si="24"/>
        <v>49368</v>
      </c>
      <c r="P63" s="60">
        <v>2.5000000000000001E-2</v>
      </c>
    </row>
    <row r="64" spans="1:18">
      <c r="L64" s="47">
        <v>13</v>
      </c>
      <c r="M64" s="202">
        <f t="shared" si="23"/>
        <v>8.0693329454777807E-2</v>
      </c>
      <c r="N64" s="202">
        <f t="shared" si="25"/>
        <v>0.21</v>
      </c>
      <c r="O64" s="25">
        <f t="shared" si="24"/>
        <v>49733</v>
      </c>
      <c r="P64" s="60">
        <v>2.5000000000000001E-2</v>
      </c>
    </row>
    <row r="65" spans="12:16">
      <c r="L65" s="47">
        <v>14</v>
      </c>
      <c r="M65" s="202">
        <f t="shared" si="23"/>
        <v>8.2710662691147296E-2</v>
      </c>
      <c r="N65" s="202">
        <f t="shared" si="25"/>
        <v>0.21</v>
      </c>
      <c r="O65" s="25">
        <f t="shared" si="24"/>
        <v>50099</v>
      </c>
      <c r="P65" s="60">
        <v>2.5000000000000001E-2</v>
      </c>
    </row>
    <row r="66" spans="12:16">
      <c r="L66" s="47">
        <v>15</v>
      </c>
      <c r="M66" s="202">
        <f t="shared" si="23"/>
        <v>8.4778429258425894E-2</v>
      </c>
      <c r="N66" s="202">
        <f t="shared" si="25"/>
        <v>0.21</v>
      </c>
      <c r="O66" s="25">
        <f t="shared" si="24"/>
        <v>50464</v>
      </c>
      <c r="P66" s="60">
        <v>2.5000000000000001E-2</v>
      </c>
    </row>
    <row r="67" spans="12:16">
      <c r="L67" s="47">
        <v>16</v>
      </c>
      <c r="M67" s="202">
        <f t="shared" si="23"/>
        <v>8.6897889989886595E-2</v>
      </c>
      <c r="N67" s="202">
        <f t="shared" si="25"/>
        <v>0.21</v>
      </c>
      <c r="O67" s="25">
        <f t="shared" si="24"/>
        <v>50829</v>
      </c>
      <c r="P67" s="60">
        <v>2.5000000000000001E-2</v>
      </c>
    </row>
    <row r="68" spans="12:16">
      <c r="L68" s="47">
        <v>17</v>
      </c>
      <c r="M68" s="202">
        <f t="shared" si="23"/>
        <v>8.9070337239633701E-2</v>
      </c>
      <c r="N68" s="202">
        <f t="shared" si="25"/>
        <v>0.21</v>
      </c>
      <c r="O68" s="25">
        <f t="shared" si="24"/>
        <v>51194</v>
      </c>
      <c r="P68" s="60">
        <v>2.5000000000000001E-2</v>
      </c>
    </row>
    <row r="69" spans="12:16">
      <c r="L69" s="47">
        <v>18</v>
      </c>
      <c r="M69" s="202">
        <f t="shared" si="23"/>
        <v>9.1297095670624606E-2</v>
      </c>
      <c r="N69" s="202">
        <f t="shared" si="25"/>
        <v>0.21</v>
      </c>
      <c r="O69" s="25">
        <f t="shared" si="24"/>
        <v>51560</v>
      </c>
      <c r="P69" s="60">
        <v>2.5000000000000001E-2</v>
      </c>
    </row>
    <row r="70" spans="12:16">
      <c r="L70" s="47">
        <v>19</v>
      </c>
      <c r="M70" s="202">
        <f t="shared" si="23"/>
        <v>9.3579523062390202E-2</v>
      </c>
      <c r="N70" s="202">
        <f t="shared" si="25"/>
        <v>0.21</v>
      </c>
      <c r="O70" s="25">
        <f t="shared" si="24"/>
        <v>51925</v>
      </c>
      <c r="P70" s="60">
        <v>2.5000000000000001E-2</v>
      </c>
    </row>
    <row r="71" spans="12:16">
      <c r="L71" s="47">
        <v>20</v>
      </c>
      <c r="M71" s="202">
        <f t="shared" si="23"/>
        <v>9.5919011138949906E-2</v>
      </c>
      <c r="N71" s="202">
        <f t="shared" si="25"/>
        <v>0.21</v>
      </c>
      <c r="O71" s="25">
        <f t="shared" si="24"/>
        <v>52290</v>
      </c>
      <c r="P71" s="60">
        <v>2.5000000000000001E-2</v>
      </c>
    </row>
  </sheetData>
  <mergeCells count="3">
    <mergeCell ref="Q14:S14"/>
    <mergeCell ref="U14:W14"/>
    <mergeCell ref="Y14:AA14"/>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W103"/>
  <sheetViews>
    <sheetView showGridLines="0" zoomScale="70" zoomScaleNormal="70" workbookViewId="0">
      <selection activeCell="W43" sqref="W42:W43"/>
    </sheetView>
  </sheetViews>
  <sheetFormatPr defaultColWidth="9" defaultRowHeight="14"/>
  <cols>
    <col min="2" max="2" width="11.453125" customWidth="1"/>
    <col min="3" max="3" width="27" customWidth="1"/>
    <col min="4" max="4" width="13.453125" customWidth="1"/>
    <col min="5" max="5" width="17.453125" customWidth="1"/>
    <col min="6" max="6" width="10.26953125" customWidth="1"/>
    <col min="7" max="7" width="12.81640625" customWidth="1"/>
    <col min="8" max="8" width="17.81640625" customWidth="1"/>
    <col min="9" max="9" width="18.453125" customWidth="1"/>
    <col min="10" max="10" width="15.81640625" customWidth="1"/>
    <col min="11" max="11" width="11.453125" customWidth="1"/>
    <col min="13" max="13" width="8.81640625" customWidth="1"/>
    <col min="14" max="14" width="18.453125" customWidth="1"/>
    <col min="29" max="29" width="18.26953125" customWidth="1"/>
  </cols>
  <sheetData>
    <row r="2" spans="2:9">
      <c r="B2" s="61" t="s">
        <v>141</v>
      </c>
      <c r="C2" s="61" t="s">
        <v>142</v>
      </c>
      <c r="D2" s="61" t="s">
        <v>143</v>
      </c>
      <c r="E2" s="61" t="s">
        <v>144</v>
      </c>
      <c r="F2" s="61" t="s">
        <v>183</v>
      </c>
      <c r="G2" s="61" t="s">
        <v>145</v>
      </c>
      <c r="H2" s="61" t="s">
        <v>146</v>
      </c>
      <c r="I2" s="61" t="s">
        <v>147</v>
      </c>
    </row>
    <row r="3" spans="2:9">
      <c r="B3" s="3" t="s">
        <v>104</v>
      </c>
      <c r="C3" s="4" t="s">
        <v>148</v>
      </c>
      <c r="D3" s="4" t="s">
        <v>149</v>
      </c>
      <c r="E3" s="4" t="s">
        <v>150</v>
      </c>
      <c r="F3" s="4" t="s">
        <v>210</v>
      </c>
      <c r="G3" s="4" t="s">
        <v>112</v>
      </c>
      <c r="H3" s="4" t="s">
        <v>113</v>
      </c>
      <c r="I3" s="5" t="s">
        <v>114</v>
      </c>
    </row>
    <row r="4" spans="2:9">
      <c r="B4" s="137">
        <v>44196</v>
      </c>
      <c r="C4" s="102">
        <v>0.79520000000000002</v>
      </c>
      <c r="D4" s="102">
        <v>1.5900000000000001E-2</v>
      </c>
      <c r="E4" s="102">
        <v>2.3900000000000001E-2</v>
      </c>
      <c r="F4" s="102">
        <v>0</v>
      </c>
      <c r="G4" s="138">
        <f>SUM(C4:F4)</f>
        <v>0.83499999999999996</v>
      </c>
      <c r="H4" s="102">
        <v>0</v>
      </c>
      <c r="I4" s="160">
        <v>0</v>
      </c>
    </row>
    <row r="5" spans="2:9">
      <c r="B5" s="139">
        <v>44227</v>
      </c>
      <c r="C5" s="12">
        <v>0.79520000000000002</v>
      </c>
      <c r="D5" s="12">
        <v>1.5900000000000001E-2</v>
      </c>
      <c r="E5" s="12">
        <v>2.3900000000000001E-2</v>
      </c>
      <c r="F5" s="12">
        <v>0</v>
      </c>
      <c r="G5" s="140">
        <f t="shared" ref="G5:G17" si="0">SUM(C5:F5)</f>
        <v>0.83499999999999996</v>
      </c>
      <c r="H5" s="12">
        <v>0</v>
      </c>
      <c r="I5" s="161">
        <v>0</v>
      </c>
    </row>
    <row r="6" spans="2:9">
      <c r="B6" s="139">
        <v>44255</v>
      </c>
      <c r="C6" s="12">
        <v>0.79520000000000002</v>
      </c>
      <c r="D6" s="12">
        <v>1.5900000000000001E-2</v>
      </c>
      <c r="E6" s="12">
        <v>2.3900000000000001E-2</v>
      </c>
      <c r="F6" s="12">
        <v>0</v>
      </c>
      <c r="G6" s="140">
        <f t="shared" si="0"/>
        <v>0.83499999999999996</v>
      </c>
      <c r="H6" s="12">
        <v>0</v>
      </c>
      <c r="I6" s="161">
        <v>0</v>
      </c>
    </row>
    <row r="7" spans="2:9">
      <c r="B7" s="139">
        <v>44286</v>
      </c>
      <c r="C7" s="12">
        <v>0.79520000000000002</v>
      </c>
      <c r="D7" s="12">
        <v>1.5900000000000001E-2</v>
      </c>
      <c r="E7" s="12">
        <v>2.3900000000000001E-2</v>
      </c>
      <c r="F7" s="12">
        <v>0</v>
      </c>
      <c r="G7" s="140">
        <f t="shared" si="0"/>
        <v>0.83499999999999996</v>
      </c>
      <c r="H7" s="12">
        <v>0</v>
      </c>
      <c r="I7" s="161">
        <v>0</v>
      </c>
    </row>
    <row r="8" spans="2:9">
      <c r="B8" s="139">
        <v>44316</v>
      </c>
      <c r="C8" s="12">
        <v>0.79520000000000002</v>
      </c>
      <c r="D8" s="12">
        <v>1.5900000000000001E-2</v>
      </c>
      <c r="E8" s="12">
        <v>2.3900000000000001E-2</v>
      </c>
      <c r="F8" s="12">
        <v>0</v>
      </c>
      <c r="G8" s="140">
        <f t="shared" si="0"/>
        <v>0.83499999999999996</v>
      </c>
      <c r="H8" s="12">
        <v>0</v>
      </c>
      <c r="I8" s="161">
        <v>0</v>
      </c>
    </row>
    <row r="9" spans="2:9">
      <c r="B9" s="139">
        <v>44347</v>
      </c>
      <c r="C9" s="12">
        <v>0.79520000000000002</v>
      </c>
      <c r="D9" s="12">
        <v>1.5900000000000001E-2</v>
      </c>
      <c r="E9" s="12">
        <v>2.3900000000000001E-2</v>
      </c>
      <c r="F9" s="12">
        <v>0</v>
      </c>
      <c r="G9" s="140">
        <f t="shared" si="0"/>
        <v>0.83499999999999996</v>
      </c>
      <c r="H9" s="12">
        <v>0</v>
      </c>
      <c r="I9" s="161">
        <v>0</v>
      </c>
    </row>
    <row r="10" spans="2:9">
      <c r="B10" s="139">
        <v>44377</v>
      </c>
      <c r="C10" s="12">
        <v>0.79520000000000002</v>
      </c>
      <c r="D10" s="12">
        <v>1.5900000000000001E-2</v>
      </c>
      <c r="E10" s="12">
        <v>2.3900000000000001E-2</v>
      </c>
      <c r="F10" s="12">
        <v>0</v>
      </c>
      <c r="G10" s="140">
        <f t="shared" si="0"/>
        <v>0.83499999999999996</v>
      </c>
      <c r="H10" s="12">
        <v>0</v>
      </c>
      <c r="I10" s="161">
        <v>0</v>
      </c>
    </row>
    <row r="11" spans="2:9">
      <c r="B11" s="139">
        <v>44408</v>
      </c>
      <c r="C11" s="12">
        <v>0.79520000000000002</v>
      </c>
      <c r="D11" s="12">
        <v>1.5900000000000001E-2</v>
      </c>
      <c r="E11" s="12">
        <v>2.3900000000000001E-2</v>
      </c>
      <c r="F11" s="12">
        <v>0</v>
      </c>
      <c r="G11" s="140">
        <f t="shared" si="0"/>
        <v>0.83499999999999996</v>
      </c>
      <c r="H11" s="12">
        <v>0</v>
      </c>
      <c r="I11" s="161">
        <v>0</v>
      </c>
    </row>
    <row r="12" spans="2:9">
      <c r="B12" s="139">
        <v>44439</v>
      </c>
      <c r="C12" s="12">
        <v>0.79520000000000002</v>
      </c>
      <c r="D12" s="12">
        <v>1.5900000000000001E-2</v>
      </c>
      <c r="E12" s="12">
        <v>2.3900000000000001E-2</v>
      </c>
      <c r="F12" s="12">
        <v>0</v>
      </c>
      <c r="G12" s="140">
        <f t="shared" si="0"/>
        <v>0.83499999999999996</v>
      </c>
      <c r="H12" s="12">
        <v>0</v>
      </c>
      <c r="I12" s="161">
        <v>0</v>
      </c>
    </row>
    <row r="13" spans="2:9">
      <c r="B13" s="139">
        <v>44469</v>
      </c>
      <c r="C13" s="12">
        <v>0.79520000000000002</v>
      </c>
      <c r="D13" s="12">
        <v>1.5900000000000001E-2</v>
      </c>
      <c r="E13" s="12">
        <v>2.3900000000000001E-2</v>
      </c>
      <c r="F13" s="12">
        <v>0</v>
      </c>
      <c r="G13" s="140">
        <f t="shared" si="0"/>
        <v>0.83499999999999996</v>
      </c>
      <c r="H13" s="12">
        <v>0</v>
      </c>
      <c r="I13" s="161">
        <v>0</v>
      </c>
    </row>
    <row r="14" spans="2:9">
      <c r="B14" s="139">
        <v>44500</v>
      </c>
      <c r="C14" s="12">
        <v>0.79520000000000002</v>
      </c>
      <c r="D14" s="12">
        <v>1.5900000000000001E-2</v>
      </c>
      <c r="E14" s="12">
        <v>2.3900000000000001E-2</v>
      </c>
      <c r="F14" s="12">
        <v>0</v>
      </c>
      <c r="G14" s="140">
        <f t="shared" si="0"/>
        <v>0.83499999999999996</v>
      </c>
      <c r="H14" s="12">
        <v>0</v>
      </c>
      <c r="I14" s="161">
        <v>0</v>
      </c>
    </row>
    <row r="15" spans="2:9">
      <c r="B15" s="139">
        <v>44530</v>
      </c>
      <c r="C15" s="12">
        <v>0.79520000000000002</v>
      </c>
      <c r="D15" s="12">
        <v>1.5900000000000001E-2</v>
      </c>
      <c r="E15" s="12">
        <v>2.3900000000000001E-2</v>
      </c>
      <c r="F15" s="12">
        <v>0</v>
      </c>
      <c r="G15" s="140">
        <f t="shared" si="0"/>
        <v>0.83499999999999996</v>
      </c>
      <c r="H15" s="12">
        <v>0</v>
      </c>
      <c r="I15" s="161">
        <v>0</v>
      </c>
    </row>
    <row r="16" spans="2:9">
      <c r="B16" s="139">
        <v>44561</v>
      </c>
      <c r="C16" s="12">
        <v>0.79520000000000002</v>
      </c>
      <c r="D16" s="12">
        <v>1.5900000000000001E-2</v>
      </c>
      <c r="E16" s="12">
        <v>2.3900000000000001E-2</v>
      </c>
      <c r="F16" s="12">
        <v>0</v>
      </c>
      <c r="G16" s="140">
        <f t="shared" si="0"/>
        <v>0.83499999999999996</v>
      </c>
      <c r="H16" s="12">
        <v>0</v>
      </c>
      <c r="I16" s="161">
        <v>0</v>
      </c>
    </row>
    <row r="17" spans="2:10">
      <c r="B17" s="141">
        <v>44592</v>
      </c>
      <c r="C17" s="23">
        <v>0.79520000000000002</v>
      </c>
      <c r="D17" s="23">
        <v>1.5900000000000001E-2</v>
      </c>
      <c r="E17" s="23">
        <v>2.3900000000000001E-2</v>
      </c>
      <c r="F17" s="23">
        <v>0</v>
      </c>
      <c r="G17" s="142">
        <f t="shared" si="0"/>
        <v>0.83499999999999996</v>
      </c>
      <c r="H17" s="23">
        <v>0</v>
      </c>
      <c r="I17" s="162">
        <v>0</v>
      </c>
    </row>
    <row r="18" spans="2:10">
      <c r="B18" s="137">
        <v>44895</v>
      </c>
      <c r="C18" s="143">
        <v>1.0068999999999999</v>
      </c>
      <c r="D18" s="143">
        <v>2.01E-2</v>
      </c>
      <c r="E18" s="143">
        <v>3.0200000000000001E-2</v>
      </c>
      <c r="F18" s="143"/>
      <c r="G18" s="144">
        <f t="shared" ref="G18:G40" si="1">SUM(C18:F18)</f>
        <v>1.0571999999999999</v>
      </c>
      <c r="H18" s="143">
        <v>0</v>
      </c>
      <c r="I18" s="163">
        <v>0</v>
      </c>
      <c r="J18" s="164" t="s">
        <v>118</v>
      </c>
    </row>
    <row r="19" spans="2:10">
      <c r="B19" s="139">
        <v>44926</v>
      </c>
      <c r="C19" s="106">
        <v>1.0068999999999999</v>
      </c>
      <c r="D19" s="106">
        <v>2.01E-2</v>
      </c>
      <c r="E19" s="106">
        <v>3.0200000000000001E-2</v>
      </c>
      <c r="F19" s="106"/>
      <c r="G19" s="145">
        <f t="shared" si="1"/>
        <v>1.0571999999999999</v>
      </c>
      <c r="H19" s="106">
        <v>0</v>
      </c>
      <c r="I19" s="165">
        <v>0</v>
      </c>
      <c r="J19" s="164" t="s">
        <v>118</v>
      </c>
    </row>
    <row r="20" spans="2:10">
      <c r="B20" s="139">
        <v>44957</v>
      </c>
      <c r="C20" s="106">
        <v>1.0068999999999999</v>
      </c>
      <c r="D20" s="106">
        <v>2.01E-2</v>
      </c>
      <c r="E20" s="106">
        <v>3.0200000000000001E-2</v>
      </c>
      <c r="F20" s="106"/>
      <c r="G20" s="145">
        <f t="shared" si="1"/>
        <v>1.0571999999999999</v>
      </c>
      <c r="H20" s="106">
        <v>0</v>
      </c>
      <c r="I20" s="165">
        <v>0</v>
      </c>
      <c r="J20" s="164" t="s">
        <v>118</v>
      </c>
    </row>
    <row r="21" spans="2:10">
      <c r="B21" s="139">
        <v>44985</v>
      </c>
      <c r="C21" s="106">
        <v>1.3085</v>
      </c>
      <c r="D21" s="106">
        <v>2.6200000000000001E-2</v>
      </c>
      <c r="E21" s="106">
        <v>3.9300000000000002E-2</v>
      </c>
      <c r="F21" s="106"/>
      <c r="G21" s="145">
        <f t="shared" si="1"/>
        <v>1.3740000000000001</v>
      </c>
      <c r="H21" s="106">
        <v>0</v>
      </c>
      <c r="I21" s="165">
        <v>0</v>
      </c>
      <c r="J21" s="164" t="s">
        <v>118</v>
      </c>
    </row>
    <row r="22" spans="2:10">
      <c r="B22" s="139">
        <v>45016</v>
      </c>
      <c r="C22" s="106">
        <v>1.3085</v>
      </c>
      <c r="D22" s="106">
        <v>2.6200000000000001E-2</v>
      </c>
      <c r="E22" s="106">
        <v>3.9300000000000002E-2</v>
      </c>
      <c r="F22" s="106"/>
      <c r="G22" s="145">
        <f t="shared" si="1"/>
        <v>1.3740000000000001</v>
      </c>
      <c r="H22" s="106">
        <v>0</v>
      </c>
      <c r="I22" s="165">
        <v>0</v>
      </c>
      <c r="J22" s="164" t="s">
        <v>118</v>
      </c>
    </row>
    <row r="23" spans="2:10">
      <c r="B23" s="139">
        <v>45046</v>
      </c>
      <c r="C23" s="106">
        <v>1.3085</v>
      </c>
      <c r="D23" s="106">
        <v>2.6200000000000001E-2</v>
      </c>
      <c r="E23" s="106">
        <v>3.9300000000000002E-2</v>
      </c>
      <c r="F23" s="106"/>
      <c r="G23" s="145">
        <f t="shared" si="1"/>
        <v>1.3740000000000001</v>
      </c>
      <c r="H23" s="106">
        <v>0</v>
      </c>
      <c r="I23" s="165">
        <v>0</v>
      </c>
      <c r="J23" s="164" t="s">
        <v>118</v>
      </c>
    </row>
    <row r="24" spans="2:10">
      <c r="B24" s="139">
        <v>45077</v>
      </c>
      <c r="C24" s="106">
        <v>1.3085</v>
      </c>
      <c r="D24" s="106">
        <v>2.6200000000000001E-2</v>
      </c>
      <c r="E24" s="106">
        <v>3.9300000000000002E-2</v>
      </c>
      <c r="F24" s="106"/>
      <c r="G24" s="145">
        <f t="shared" si="1"/>
        <v>1.3740000000000001</v>
      </c>
      <c r="H24" s="106">
        <v>0</v>
      </c>
      <c r="I24" s="165">
        <v>0</v>
      </c>
      <c r="J24" s="164" t="s">
        <v>118</v>
      </c>
    </row>
    <row r="25" spans="2:10">
      <c r="B25" s="139">
        <v>45107</v>
      </c>
      <c r="C25" s="106">
        <v>1.5488</v>
      </c>
      <c r="D25" s="106">
        <v>3.1E-2</v>
      </c>
      <c r="E25" s="106">
        <v>4.65E-2</v>
      </c>
      <c r="F25" s="106"/>
      <c r="G25" s="145">
        <f t="shared" si="1"/>
        <v>1.6263000000000001</v>
      </c>
      <c r="H25" s="106">
        <v>0</v>
      </c>
      <c r="I25" s="165">
        <v>0</v>
      </c>
      <c r="J25" s="164" t="s">
        <v>118</v>
      </c>
    </row>
    <row r="26" spans="2:10">
      <c r="B26" s="139">
        <v>45138</v>
      </c>
      <c r="C26" s="106">
        <v>1.5488</v>
      </c>
      <c r="D26" s="106">
        <v>3.1E-2</v>
      </c>
      <c r="E26" s="106">
        <v>4.65E-2</v>
      </c>
      <c r="F26" s="106"/>
      <c r="G26" s="145">
        <f t="shared" si="1"/>
        <v>1.6263000000000001</v>
      </c>
      <c r="H26" s="106">
        <v>0</v>
      </c>
      <c r="I26" s="165">
        <v>0</v>
      </c>
      <c r="J26" s="164" t="s">
        <v>118</v>
      </c>
    </row>
    <row r="27" spans="2:10">
      <c r="B27" s="139">
        <v>45169</v>
      </c>
      <c r="C27" s="106">
        <v>1.5488</v>
      </c>
      <c r="D27" s="106">
        <v>3.1E-2</v>
      </c>
      <c r="E27" s="106">
        <v>4.65E-2</v>
      </c>
      <c r="F27" s="106"/>
      <c r="G27" s="145">
        <f t="shared" si="1"/>
        <v>1.6263000000000001</v>
      </c>
      <c r="H27" s="106">
        <v>0</v>
      </c>
      <c r="I27" s="165">
        <v>0</v>
      </c>
      <c r="J27" s="164" t="s">
        <v>118</v>
      </c>
    </row>
    <row r="28" spans="2:10">
      <c r="B28" s="139">
        <v>45199</v>
      </c>
      <c r="C28" s="106">
        <v>1.5488</v>
      </c>
      <c r="D28" s="106">
        <v>3.1E-2</v>
      </c>
      <c r="E28" s="106">
        <v>4.65E-2</v>
      </c>
      <c r="F28" s="106"/>
      <c r="G28" s="145">
        <f t="shared" si="1"/>
        <v>1.6263000000000001</v>
      </c>
      <c r="H28" s="106">
        <v>0</v>
      </c>
      <c r="I28" s="165">
        <v>0</v>
      </c>
      <c r="J28" s="164" t="s">
        <v>118</v>
      </c>
    </row>
    <row r="29" spans="2:10">
      <c r="B29" s="141">
        <v>45230</v>
      </c>
      <c r="C29" s="146">
        <v>1.5488</v>
      </c>
      <c r="D29" s="146">
        <v>3.1E-2</v>
      </c>
      <c r="E29" s="146">
        <v>4.65E-2</v>
      </c>
      <c r="F29" s="146"/>
      <c r="G29" s="147">
        <f t="shared" si="1"/>
        <v>1.6263000000000001</v>
      </c>
      <c r="H29" s="106">
        <v>0</v>
      </c>
      <c r="I29" s="165">
        <v>0</v>
      </c>
      <c r="J29" s="164" t="s">
        <v>118</v>
      </c>
    </row>
    <row r="30" spans="2:10">
      <c r="B30" s="137">
        <v>45260</v>
      </c>
      <c r="C30" s="143">
        <v>1.5488</v>
      </c>
      <c r="D30" s="143">
        <v>3.1E-2</v>
      </c>
      <c r="E30" s="143">
        <v>4.65E-2</v>
      </c>
      <c r="F30" s="143"/>
      <c r="G30" s="144">
        <f t="shared" si="1"/>
        <v>1.6263000000000001</v>
      </c>
      <c r="H30" s="143">
        <v>0</v>
      </c>
      <c r="I30" s="163">
        <v>0</v>
      </c>
      <c r="J30" s="164" t="s">
        <v>118</v>
      </c>
    </row>
    <row r="31" spans="2:10">
      <c r="B31" s="139">
        <v>45291</v>
      </c>
      <c r="C31" s="106">
        <v>1.5251999999999999</v>
      </c>
      <c r="D31" s="106">
        <v>3.0499999999999999E-2</v>
      </c>
      <c r="E31" s="106">
        <v>4.58E-2</v>
      </c>
      <c r="F31" s="106"/>
      <c r="G31" s="145">
        <f t="shared" si="1"/>
        <v>1.6014999999999999</v>
      </c>
      <c r="H31" s="106">
        <v>0</v>
      </c>
      <c r="I31" s="165">
        <v>0</v>
      </c>
      <c r="J31" s="164" t="s">
        <v>118</v>
      </c>
    </row>
    <row r="32" spans="2:10">
      <c r="B32" s="139">
        <v>45322</v>
      </c>
      <c r="C32" s="106">
        <v>1.5251999999999999</v>
      </c>
      <c r="D32" s="106">
        <v>3.0499999999999999E-2</v>
      </c>
      <c r="E32" s="106">
        <v>4.58E-2</v>
      </c>
      <c r="F32" s="106"/>
      <c r="G32" s="145">
        <f t="shared" si="1"/>
        <v>1.6014999999999999</v>
      </c>
      <c r="H32" s="106">
        <v>0</v>
      </c>
      <c r="I32" s="165">
        <v>0</v>
      </c>
      <c r="J32" s="164" t="s">
        <v>118</v>
      </c>
    </row>
    <row r="33" spans="2:10">
      <c r="B33" s="139">
        <v>45351</v>
      </c>
      <c r="C33" s="106">
        <v>1.5251999999999999</v>
      </c>
      <c r="D33" s="106">
        <v>3.0499999999999999E-2</v>
      </c>
      <c r="E33" s="106">
        <v>4.58E-2</v>
      </c>
      <c r="F33" s="106"/>
      <c r="G33" s="145">
        <f t="shared" si="1"/>
        <v>1.6014999999999999</v>
      </c>
      <c r="H33" s="106">
        <v>0</v>
      </c>
      <c r="I33" s="165">
        <v>0</v>
      </c>
      <c r="J33" s="164" t="s">
        <v>118</v>
      </c>
    </row>
    <row r="34" spans="2:10">
      <c r="B34" s="139">
        <v>45382</v>
      </c>
      <c r="C34" s="106">
        <v>1.5251999999999999</v>
      </c>
      <c r="D34" s="106">
        <v>3.0499999999999999E-2</v>
      </c>
      <c r="E34" s="106">
        <v>4.58E-2</v>
      </c>
      <c r="F34" s="106"/>
      <c r="G34" s="145">
        <f t="shared" si="1"/>
        <v>1.6014999999999999</v>
      </c>
      <c r="H34" s="106">
        <v>0</v>
      </c>
      <c r="I34" s="165">
        <v>0</v>
      </c>
      <c r="J34" s="164" t="s">
        <v>118</v>
      </c>
    </row>
    <row r="35" spans="2:10">
      <c r="B35" s="139">
        <v>45412</v>
      </c>
      <c r="C35" s="106">
        <v>1.5251999999999999</v>
      </c>
      <c r="D35" s="106">
        <v>3.0499999999999999E-2</v>
      </c>
      <c r="E35" s="106">
        <v>4.58E-2</v>
      </c>
      <c r="F35" s="106"/>
      <c r="G35" s="145">
        <f t="shared" si="1"/>
        <v>1.6014999999999999</v>
      </c>
      <c r="H35" s="106">
        <v>0</v>
      </c>
      <c r="I35" s="165">
        <v>0</v>
      </c>
      <c r="J35" s="164" t="s">
        <v>118</v>
      </c>
    </row>
    <row r="36" spans="2:10">
      <c r="B36" s="139">
        <v>45443</v>
      </c>
      <c r="C36" s="106">
        <v>1.5251999999999999</v>
      </c>
      <c r="D36" s="106">
        <v>3.0499999999999999E-2</v>
      </c>
      <c r="E36" s="106">
        <v>4.58E-2</v>
      </c>
      <c r="F36" s="106"/>
      <c r="G36" s="145">
        <f t="shared" si="1"/>
        <v>1.6014999999999999</v>
      </c>
      <c r="H36" s="106">
        <v>0</v>
      </c>
      <c r="I36" s="165">
        <v>0</v>
      </c>
      <c r="J36" s="164" t="s">
        <v>118</v>
      </c>
    </row>
    <row r="37" spans="2:10">
      <c r="B37" s="139">
        <v>45473</v>
      </c>
      <c r="C37" s="106">
        <v>1.5251999999999999</v>
      </c>
      <c r="D37" s="106">
        <v>3.0499999999999999E-2</v>
      </c>
      <c r="E37" s="106">
        <v>4.58E-2</v>
      </c>
      <c r="F37" s="106"/>
      <c r="G37" s="145">
        <f t="shared" si="1"/>
        <v>1.6014999999999999</v>
      </c>
      <c r="H37" s="106">
        <v>0</v>
      </c>
      <c r="I37" s="165">
        <v>0</v>
      </c>
      <c r="J37" s="164" t="s">
        <v>118</v>
      </c>
    </row>
    <row r="38" spans="2:10">
      <c r="B38" s="139">
        <v>45504</v>
      </c>
      <c r="C38" s="106">
        <v>1.6001000000000001</v>
      </c>
      <c r="D38" s="106">
        <v>3.2000000000000001E-2</v>
      </c>
      <c r="E38" s="106">
        <v>4.8000000000000001E-2</v>
      </c>
      <c r="F38" s="106"/>
      <c r="G38" s="145">
        <f t="shared" si="1"/>
        <v>1.6800999999999999</v>
      </c>
      <c r="H38" s="106">
        <v>0</v>
      </c>
      <c r="I38" s="165">
        <v>0</v>
      </c>
      <c r="J38" s="164" t="s">
        <v>118</v>
      </c>
    </row>
    <row r="39" spans="2:10">
      <c r="B39" s="139">
        <v>45535</v>
      </c>
      <c r="C39" s="106">
        <v>1.48</v>
      </c>
      <c r="D39" s="106">
        <v>2.9600000000000001E-2</v>
      </c>
      <c r="E39" s="106">
        <v>4.4400000000000002E-2</v>
      </c>
      <c r="F39" s="106"/>
      <c r="G39" s="145">
        <f t="shared" si="1"/>
        <v>1.554</v>
      </c>
      <c r="H39" s="106">
        <v>0</v>
      </c>
      <c r="I39" s="165">
        <v>0</v>
      </c>
      <c r="J39" s="164" t="s">
        <v>118</v>
      </c>
    </row>
    <row r="40" spans="2:10">
      <c r="B40" s="139">
        <v>45565</v>
      </c>
      <c r="C40" s="106">
        <v>1.48</v>
      </c>
      <c r="D40" s="106">
        <v>2.9600000000000001E-2</v>
      </c>
      <c r="E40" s="106">
        <v>4.4400000000000002E-2</v>
      </c>
      <c r="F40" s="106"/>
      <c r="G40" s="145">
        <f t="shared" si="1"/>
        <v>1.554</v>
      </c>
      <c r="H40" s="106">
        <v>0</v>
      </c>
      <c r="I40" s="165">
        <v>0</v>
      </c>
      <c r="J40" s="164" t="s">
        <v>118</v>
      </c>
    </row>
    <row r="41" spans="2:10">
      <c r="B41" s="141">
        <v>45596</v>
      </c>
      <c r="C41" s="146">
        <v>1.48</v>
      </c>
      <c r="D41" s="146">
        <v>2.9600000000000001E-2</v>
      </c>
      <c r="E41" s="146">
        <v>4.4400000000000002E-2</v>
      </c>
      <c r="F41" s="146"/>
      <c r="G41" s="147">
        <f t="shared" ref="G41:G53" si="2">SUM(C41:F41)</f>
        <v>1.554</v>
      </c>
      <c r="H41" s="146">
        <v>0</v>
      </c>
      <c r="I41" s="166">
        <v>0</v>
      </c>
      <c r="J41" s="164" t="s">
        <v>118</v>
      </c>
    </row>
    <row r="42" spans="2:10">
      <c r="B42" s="101">
        <v>45626</v>
      </c>
      <c r="C42" s="148">
        <v>1.48</v>
      </c>
      <c r="D42" s="148">
        <v>2.9600000000000001E-2</v>
      </c>
      <c r="E42" s="148">
        <v>4.4400000000000002E-2</v>
      </c>
      <c r="F42" s="148"/>
      <c r="G42" s="149">
        <f t="shared" si="2"/>
        <v>1.554</v>
      </c>
      <c r="H42" s="148"/>
      <c r="I42" s="167"/>
      <c r="J42" s="164" t="s">
        <v>118</v>
      </c>
    </row>
    <row r="43" spans="2:10">
      <c r="B43" s="15">
        <v>45657</v>
      </c>
      <c r="C43" s="150">
        <v>1.48</v>
      </c>
      <c r="D43" s="150">
        <v>2.9600000000000001E-2</v>
      </c>
      <c r="E43" s="150">
        <v>4.4400000000000002E-2</v>
      </c>
      <c r="F43" s="150"/>
      <c r="G43" s="151">
        <f t="shared" si="2"/>
        <v>1.554</v>
      </c>
      <c r="H43" s="150"/>
      <c r="I43" s="168"/>
      <c r="J43" s="164" t="s">
        <v>118</v>
      </c>
    </row>
    <row r="44" spans="2:10">
      <c r="B44" s="15">
        <v>45688</v>
      </c>
      <c r="C44" s="150">
        <v>1.48</v>
      </c>
      <c r="D44" s="150">
        <v>2.9600000000000001E-2</v>
      </c>
      <c r="E44" s="150">
        <v>4.4400000000000002E-2</v>
      </c>
      <c r="F44" s="150"/>
      <c r="G44" s="151">
        <f t="shared" si="2"/>
        <v>1.554</v>
      </c>
      <c r="H44" s="150"/>
      <c r="I44" s="168"/>
      <c r="J44" s="164" t="s">
        <v>118</v>
      </c>
    </row>
    <row r="45" spans="2:10">
      <c r="B45" s="15">
        <v>45716</v>
      </c>
      <c r="C45" s="150">
        <v>1.48</v>
      </c>
      <c r="D45" s="150">
        <v>2.9600000000000001E-2</v>
      </c>
      <c r="E45" s="150">
        <v>4.4400000000000002E-2</v>
      </c>
      <c r="F45" s="150"/>
      <c r="G45" s="151">
        <f t="shared" si="2"/>
        <v>1.554</v>
      </c>
      <c r="H45" s="150"/>
      <c r="I45" s="168"/>
      <c r="J45" s="164" t="s">
        <v>118</v>
      </c>
    </row>
    <row r="46" spans="2:10">
      <c r="B46" s="15">
        <v>45747</v>
      </c>
      <c r="C46" s="150">
        <v>1.48</v>
      </c>
      <c r="D46" s="150">
        <v>2.9600000000000001E-2</v>
      </c>
      <c r="E46" s="150">
        <v>4.4400000000000002E-2</v>
      </c>
      <c r="F46" s="150"/>
      <c r="G46" s="151">
        <f t="shared" si="2"/>
        <v>1.554</v>
      </c>
      <c r="H46" s="150"/>
      <c r="I46" s="168"/>
      <c r="J46" s="164" t="s">
        <v>118</v>
      </c>
    </row>
    <row r="47" spans="2:10">
      <c r="B47" s="15">
        <v>45777</v>
      </c>
      <c r="C47" s="150">
        <v>1.6479999999999999</v>
      </c>
      <c r="D47" s="150">
        <v>3.3000000000000002E-2</v>
      </c>
      <c r="E47" s="150">
        <v>4.9500000000000002E-2</v>
      </c>
      <c r="F47" s="150"/>
      <c r="G47" s="151">
        <f t="shared" si="2"/>
        <v>1.7304999999999999</v>
      </c>
      <c r="H47" s="150"/>
      <c r="I47" s="168"/>
      <c r="J47" s="164" t="s">
        <v>118</v>
      </c>
    </row>
    <row r="48" spans="2:10">
      <c r="B48" s="15">
        <v>45808</v>
      </c>
      <c r="C48" s="150">
        <v>1.48</v>
      </c>
      <c r="D48" s="150">
        <f>0.02*C48</f>
        <v>2.9600000000000001E-2</v>
      </c>
      <c r="E48" s="150">
        <f>0.03*C48</f>
        <v>4.4400000000000002E-2</v>
      </c>
      <c r="F48" s="150"/>
      <c r="G48" s="151">
        <f t="shared" si="2"/>
        <v>1.554</v>
      </c>
      <c r="H48" s="150"/>
      <c r="I48" s="168"/>
      <c r="J48" s="164" t="s">
        <v>118</v>
      </c>
    </row>
    <row r="49" spans="1:20">
      <c r="B49" s="15">
        <v>45838</v>
      </c>
      <c r="C49" s="150">
        <v>1.48</v>
      </c>
      <c r="D49" s="150">
        <f t="shared" ref="D49:D53" si="3">0.02*C49</f>
        <v>2.9600000000000001E-2</v>
      </c>
      <c r="E49" s="150">
        <f t="shared" ref="E49:E53" si="4">0.03*C49</f>
        <v>4.4400000000000002E-2</v>
      </c>
      <c r="F49" s="150"/>
      <c r="G49" s="151">
        <f t="shared" si="2"/>
        <v>1.554</v>
      </c>
      <c r="H49" s="150"/>
      <c r="I49" s="168"/>
      <c r="J49" s="164" t="s">
        <v>118</v>
      </c>
    </row>
    <row r="50" spans="1:20">
      <c r="B50" s="15">
        <v>45869</v>
      </c>
      <c r="C50" s="150">
        <v>1.48</v>
      </c>
      <c r="D50" s="150">
        <f t="shared" si="3"/>
        <v>2.9600000000000001E-2</v>
      </c>
      <c r="E50" s="150">
        <f t="shared" si="4"/>
        <v>4.4400000000000002E-2</v>
      </c>
      <c r="F50" s="150"/>
      <c r="G50" s="151">
        <f t="shared" si="2"/>
        <v>1.554</v>
      </c>
      <c r="H50" s="150"/>
      <c r="I50" s="168"/>
      <c r="J50" s="164" t="s">
        <v>118</v>
      </c>
    </row>
    <row r="51" spans="1:20">
      <c r="B51" s="15">
        <v>45900</v>
      </c>
      <c r="C51" s="150">
        <v>1.48</v>
      </c>
      <c r="D51" s="150">
        <f t="shared" si="3"/>
        <v>2.9600000000000001E-2</v>
      </c>
      <c r="E51" s="150">
        <f t="shared" si="4"/>
        <v>4.4400000000000002E-2</v>
      </c>
      <c r="F51" s="150"/>
      <c r="G51" s="151">
        <f t="shared" si="2"/>
        <v>1.554</v>
      </c>
      <c r="H51" s="150"/>
      <c r="I51" s="168"/>
      <c r="J51" s="164" t="s">
        <v>118</v>
      </c>
    </row>
    <row r="52" spans="1:20">
      <c r="B52" s="15">
        <v>45930</v>
      </c>
      <c r="C52" s="150">
        <v>1.48</v>
      </c>
      <c r="D52" s="150">
        <f t="shared" si="3"/>
        <v>2.9600000000000001E-2</v>
      </c>
      <c r="E52" s="150">
        <f t="shared" si="4"/>
        <v>4.4400000000000002E-2</v>
      </c>
      <c r="F52" s="150"/>
      <c r="G52" s="151">
        <f t="shared" si="2"/>
        <v>1.554</v>
      </c>
      <c r="H52" s="150"/>
      <c r="I52" s="168"/>
      <c r="J52" s="164" t="s">
        <v>118</v>
      </c>
    </row>
    <row r="53" spans="1:20">
      <c r="B53" s="22">
        <v>45961</v>
      </c>
      <c r="C53" s="152">
        <v>1.48</v>
      </c>
      <c r="D53" s="152">
        <f t="shared" si="3"/>
        <v>2.9600000000000001E-2</v>
      </c>
      <c r="E53" s="152">
        <f t="shared" si="4"/>
        <v>4.4400000000000002E-2</v>
      </c>
      <c r="F53" s="152"/>
      <c r="G53" s="153">
        <f t="shared" si="2"/>
        <v>1.554</v>
      </c>
      <c r="H53" s="152"/>
      <c r="I53" s="169"/>
      <c r="J53" s="164" t="s">
        <v>118</v>
      </c>
    </row>
    <row r="55" spans="1:20">
      <c r="B55" t="s">
        <v>177</v>
      </c>
      <c r="C55" t="s">
        <v>120</v>
      </c>
      <c r="D55" s="154">
        <f>G41</f>
        <v>1.554</v>
      </c>
      <c r="T55" s="175"/>
    </row>
    <row r="56" spans="1:20">
      <c r="C56" t="s">
        <v>211</v>
      </c>
      <c r="D56" s="154">
        <f>G53</f>
        <v>1.554</v>
      </c>
      <c r="E56" t="s">
        <v>212</v>
      </c>
      <c r="J56" s="170"/>
    </row>
    <row r="57" spans="1:20">
      <c r="N57" s="37"/>
    </row>
    <row r="59" spans="1:20">
      <c r="K59" s="45" t="s">
        <v>213</v>
      </c>
      <c r="L59" s="45" t="s">
        <v>214</v>
      </c>
    </row>
    <row r="60" spans="1:20">
      <c r="A60" s="29"/>
      <c r="B60" s="30" t="s">
        <v>130</v>
      </c>
      <c r="C60" s="29" t="s">
        <v>131</v>
      </c>
      <c r="D60" s="29">
        <v>10.877305</v>
      </c>
      <c r="E60" s="29"/>
      <c r="F60" s="29"/>
      <c r="G60" s="29"/>
      <c r="K60" s="45" t="s">
        <v>125</v>
      </c>
      <c r="L60" s="45" t="s">
        <v>125</v>
      </c>
      <c r="M60" s="45" t="s">
        <v>215</v>
      </c>
      <c r="N60" s="45" t="s">
        <v>216</v>
      </c>
    </row>
    <row r="61" spans="1:20">
      <c r="A61" s="29"/>
      <c r="B61" s="155">
        <f>J72</f>
        <v>9.8885077806640603E-2</v>
      </c>
      <c r="C61" s="29" t="s">
        <v>133</v>
      </c>
      <c r="D61" s="156">
        <f>B61*$D$60</f>
        <v>1.07560315125156</v>
      </c>
      <c r="E61" s="29" t="s">
        <v>181</v>
      </c>
      <c r="F61" s="29"/>
      <c r="G61" s="29"/>
      <c r="K61" s="47">
        <v>0</v>
      </c>
      <c r="N61" s="171">
        <v>43390</v>
      </c>
      <c r="O61" s="57" t="s">
        <v>217</v>
      </c>
      <c r="P61" s="100"/>
      <c r="Q61" s="100"/>
    </row>
    <row r="62" spans="1:20" ht="14.5">
      <c r="A62" s="29"/>
      <c r="B62" s="29"/>
      <c r="C62" s="29" t="s">
        <v>137</v>
      </c>
      <c r="D62" s="157">
        <v>0.192</v>
      </c>
      <c r="E62" s="158" t="s">
        <v>37</v>
      </c>
      <c r="F62" s="29"/>
      <c r="G62" s="29"/>
      <c r="J62">
        <v>8.7400000000000005E-2</v>
      </c>
      <c r="K62" s="172">
        <v>1</v>
      </c>
      <c r="M62" s="170">
        <v>0</v>
      </c>
      <c r="N62" s="173">
        <v>43769</v>
      </c>
    </row>
    <row r="63" spans="1:20">
      <c r="A63" s="29"/>
      <c r="B63" s="29"/>
      <c r="C63" s="29" t="s">
        <v>182</v>
      </c>
      <c r="D63" s="159">
        <f>D56*(1-D62)</f>
        <v>1.2556320000000001</v>
      </c>
      <c r="E63" s="29"/>
      <c r="F63" s="29"/>
      <c r="G63" s="29"/>
      <c r="J63" s="174">
        <f>J62*(1+M63)</f>
        <v>8.7400000000000005E-2</v>
      </c>
      <c r="K63" s="172">
        <v>2</v>
      </c>
      <c r="M63" s="60">
        <v>0</v>
      </c>
      <c r="N63" s="173">
        <f>EDATE(N62,12)</f>
        <v>44135</v>
      </c>
    </row>
    <row r="64" spans="1:20">
      <c r="A64" s="29"/>
      <c r="B64" s="29"/>
      <c r="C64" s="29"/>
      <c r="D64" s="29"/>
      <c r="E64" s="29"/>
      <c r="F64" s="29"/>
      <c r="G64" s="29"/>
      <c r="J64" s="174">
        <f>J63*(1+M64)</f>
        <v>8.7400000000000005E-2</v>
      </c>
      <c r="K64" s="172">
        <v>3</v>
      </c>
      <c r="M64" s="60">
        <v>0</v>
      </c>
      <c r="N64" s="173">
        <f t="shared" ref="N64:N66" si="5">EDATE(N63,12)</f>
        <v>44500</v>
      </c>
    </row>
    <row r="65" spans="3:23">
      <c r="I65" s="177"/>
      <c r="J65" s="174">
        <f>J64*(1+M65)</f>
        <v>8.9584999999999998E-2</v>
      </c>
      <c r="K65" s="172">
        <v>4</v>
      </c>
      <c r="M65" s="60">
        <v>2.5000000000000001E-2</v>
      </c>
      <c r="N65" s="173">
        <f t="shared" si="5"/>
        <v>44865</v>
      </c>
    </row>
    <row r="66" spans="3:23">
      <c r="J66" s="178">
        <f>J65*(1+M66)</f>
        <v>9.1824624999999993E-2</v>
      </c>
      <c r="K66" s="179">
        <v>5</v>
      </c>
      <c r="M66" s="180">
        <v>2.5000000000000001E-2</v>
      </c>
      <c r="N66" s="181">
        <f t="shared" si="5"/>
        <v>45230</v>
      </c>
      <c r="O66" s="134" t="s">
        <v>218</v>
      </c>
    </row>
    <row r="67" spans="3:23">
      <c r="C67" s="40" t="s">
        <v>219</v>
      </c>
      <c r="D67" s="176"/>
      <c r="E67" s="176"/>
      <c r="F67" s="176"/>
      <c r="G67" s="176"/>
      <c r="H67" s="176"/>
      <c r="L67" s="182">
        <v>0</v>
      </c>
      <c r="N67" s="171">
        <v>45415</v>
      </c>
      <c r="O67" s="57" t="s">
        <v>220</v>
      </c>
      <c r="P67" s="100"/>
      <c r="Q67" s="100"/>
    </row>
    <row r="68" spans="3:23">
      <c r="J68" s="174">
        <f>J66*(1+M68)</f>
        <v>9.4120240625000004E-2</v>
      </c>
      <c r="K68" s="172">
        <v>6</v>
      </c>
      <c r="L68" s="47"/>
      <c r="M68" s="60">
        <v>2.5000000000000001E-2</v>
      </c>
      <c r="N68" s="173">
        <f>EDATE(N66,12)</f>
        <v>45596</v>
      </c>
    </row>
    <row r="69" spans="3:23">
      <c r="L69" s="47">
        <f>L67+1</f>
        <v>1</v>
      </c>
      <c r="N69" s="25">
        <f t="shared" ref="N69:N103" si="6">EDATE(N67,12)</f>
        <v>45780</v>
      </c>
    </row>
    <row r="70" spans="3:23">
      <c r="J70" s="174">
        <f>J68*(1+M70)</f>
        <v>9.6473246640624996E-2</v>
      </c>
      <c r="K70" s="172">
        <v>7</v>
      </c>
      <c r="L70" s="47"/>
      <c r="M70" s="60">
        <v>2.5000000000000001E-2</v>
      </c>
      <c r="N70" s="173">
        <f t="shared" si="6"/>
        <v>45961</v>
      </c>
    </row>
    <row r="71" spans="3:23">
      <c r="L71" s="47">
        <f>L69+1</f>
        <v>2</v>
      </c>
      <c r="N71" s="25">
        <f t="shared" si="6"/>
        <v>46145</v>
      </c>
    </row>
    <row r="72" spans="3:23">
      <c r="J72" s="183">
        <f>J70*(1+M72)</f>
        <v>9.8885077806640603E-2</v>
      </c>
      <c r="K72" s="184">
        <v>8</v>
      </c>
      <c r="L72" s="48"/>
      <c r="M72" s="59">
        <v>2.5000000000000001E-2</v>
      </c>
      <c r="N72" s="185">
        <f t="shared" si="6"/>
        <v>46326</v>
      </c>
    </row>
    <row r="73" spans="3:23">
      <c r="L73" s="47">
        <f>L71+1</f>
        <v>3</v>
      </c>
      <c r="N73" s="25">
        <f t="shared" si="6"/>
        <v>46510</v>
      </c>
    </row>
    <row r="74" spans="3:23">
      <c r="J74" s="174">
        <f>J72*(1+M74)</f>
        <v>0.101357204751807</v>
      </c>
      <c r="K74" s="172">
        <v>9</v>
      </c>
      <c r="L74" s="47"/>
      <c r="M74" s="60">
        <v>2.5000000000000001E-2</v>
      </c>
      <c r="N74" s="173">
        <f t="shared" si="6"/>
        <v>46691</v>
      </c>
    </row>
    <row r="75" spans="3:23">
      <c r="L75" s="47">
        <f>L73+1</f>
        <v>4</v>
      </c>
      <c r="N75" s="25">
        <f t="shared" si="6"/>
        <v>46876</v>
      </c>
    </row>
    <row r="76" spans="3:23">
      <c r="J76" s="174">
        <f>J74*(1+M76)</f>
        <v>0.103891134870602</v>
      </c>
      <c r="K76" s="172">
        <v>10</v>
      </c>
      <c r="L76" s="47"/>
      <c r="M76" s="60">
        <v>2.5000000000000001E-2</v>
      </c>
      <c r="N76" s="173">
        <f t="shared" si="6"/>
        <v>47057</v>
      </c>
    </row>
    <row r="77" spans="3:23">
      <c r="L77" s="47">
        <f>L75+1</f>
        <v>5</v>
      </c>
      <c r="N77" s="25">
        <f t="shared" si="6"/>
        <v>47241</v>
      </c>
    </row>
    <row r="78" spans="3:23">
      <c r="J78" s="174">
        <f>J76*(1+M78)</f>
        <v>0.10648841324236701</v>
      </c>
      <c r="K78" s="172">
        <v>11</v>
      </c>
      <c r="L78" s="47"/>
      <c r="M78" s="60">
        <v>2.5000000000000001E-2</v>
      </c>
      <c r="N78" s="173">
        <f t="shared" si="6"/>
        <v>47422</v>
      </c>
    </row>
    <row r="79" spans="3:23">
      <c r="L79" s="47">
        <f>L77+1</f>
        <v>6</v>
      </c>
      <c r="N79" s="25">
        <f t="shared" si="6"/>
        <v>47606</v>
      </c>
      <c r="P79" s="385" t="s">
        <v>221</v>
      </c>
      <c r="Q79" s="386"/>
      <c r="R79" s="386"/>
      <c r="S79" s="386"/>
      <c r="T79" s="386"/>
      <c r="U79" s="386"/>
      <c r="V79" s="386"/>
      <c r="W79" s="387"/>
    </row>
    <row r="80" spans="3:23">
      <c r="J80" s="174">
        <f>J78*(1+M80)</f>
        <v>0.109150623573426</v>
      </c>
      <c r="K80" s="172">
        <v>12</v>
      </c>
      <c r="L80" s="47"/>
      <c r="M80" s="60">
        <v>2.5000000000000001E-2</v>
      </c>
      <c r="N80" s="173">
        <f t="shared" si="6"/>
        <v>47787</v>
      </c>
      <c r="P80" s="388"/>
      <c r="Q80" s="389"/>
      <c r="R80" s="389"/>
      <c r="S80" s="389"/>
      <c r="T80" s="389"/>
      <c r="U80" s="389"/>
      <c r="V80" s="389"/>
      <c r="W80" s="390"/>
    </row>
    <row r="81" spans="3:23">
      <c r="C81" s="40" t="s">
        <v>222</v>
      </c>
      <c r="D81" s="40"/>
      <c r="E81" s="40"/>
      <c r="F81" s="40"/>
      <c r="G81" s="40"/>
      <c r="H81" s="40"/>
      <c r="L81" s="47">
        <f>L79+1</f>
        <v>7</v>
      </c>
      <c r="N81" s="25">
        <f t="shared" si="6"/>
        <v>47971</v>
      </c>
      <c r="P81" s="388"/>
      <c r="Q81" s="389"/>
      <c r="R81" s="389"/>
      <c r="S81" s="389"/>
      <c r="T81" s="389"/>
      <c r="U81" s="389"/>
      <c r="V81" s="389"/>
      <c r="W81" s="390"/>
    </row>
    <row r="82" spans="3:23">
      <c r="J82" s="174">
        <f>J80*(1+M82)</f>
        <v>0.11187938916276199</v>
      </c>
      <c r="K82" s="172">
        <v>13</v>
      </c>
      <c r="L82" s="47"/>
      <c r="M82" s="60">
        <v>2.5000000000000001E-2</v>
      </c>
      <c r="N82" s="173">
        <f t="shared" si="6"/>
        <v>48152</v>
      </c>
      <c r="P82" s="388"/>
      <c r="Q82" s="389"/>
      <c r="R82" s="389"/>
      <c r="S82" s="389"/>
      <c r="T82" s="389"/>
      <c r="U82" s="389"/>
      <c r="V82" s="389"/>
      <c r="W82" s="390"/>
    </row>
    <row r="83" spans="3:23">
      <c r="L83" s="47">
        <f>L81+1</f>
        <v>8</v>
      </c>
      <c r="N83" s="25">
        <f t="shared" si="6"/>
        <v>48337</v>
      </c>
      <c r="P83" s="391"/>
      <c r="Q83" s="392"/>
      <c r="R83" s="392"/>
      <c r="S83" s="392"/>
      <c r="T83" s="392"/>
      <c r="U83" s="392"/>
      <c r="V83" s="392"/>
      <c r="W83" s="393"/>
    </row>
    <row r="84" spans="3:23">
      <c r="J84" s="174">
        <f>J82*(1+M84)</f>
        <v>0.114676373891831</v>
      </c>
      <c r="K84" s="172">
        <v>14</v>
      </c>
      <c r="L84" s="47"/>
      <c r="M84" s="60">
        <v>2.5000000000000001E-2</v>
      </c>
      <c r="N84" s="173">
        <f t="shared" si="6"/>
        <v>48518</v>
      </c>
    </row>
    <row r="85" spans="3:23">
      <c r="L85" s="47">
        <f>L83+1</f>
        <v>9</v>
      </c>
      <c r="N85" s="25">
        <f t="shared" si="6"/>
        <v>48702</v>
      </c>
    </row>
    <row r="86" spans="3:23">
      <c r="J86" s="174">
        <f>J84*(1+M86)</f>
        <v>0.117543283239126</v>
      </c>
      <c r="K86" s="172">
        <v>15</v>
      </c>
      <c r="L86" s="47"/>
      <c r="M86" s="60">
        <v>2.5000000000000001E-2</v>
      </c>
      <c r="N86" s="173">
        <f t="shared" si="6"/>
        <v>48883</v>
      </c>
    </row>
    <row r="87" spans="3:23">
      <c r="L87" s="47">
        <f>L85+1</f>
        <v>10</v>
      </c>
      <c r="N87" s="25">
        <f t="shared" si="6"/>
        <v>49067</v>
      </c>
    </row>
    <row r="88" spans="3:23">
      <c r="J88" s="174">
        <f>J86*(1+M88)</f>
        <v>0.12048186532010501</v>
      </c>
      <c r="K88" s="172">
        <v>16</v>
      </c>
      <c r="L88" s="47"/>
      <c r="M88" s="60">
        <v>2.5000000000000001E-2</v>
      </c>
      <c r="N88" s="173">
        <f t="shared" si="6"/>
        <v>49248</v>
      </c>
    </row>
    <row r="89" spans="3:23">
      <c r="L89" s="47">
        <f>L87+1</f>
        <v>11</v>
      </c>
      <c r="N89" s="25">
        <f t="shared" si="6"/>
        <v>49432</v>
      </c>
    </row>
    <row r="90" spans="3:23">
      <c r="J90" s="174">
        <f>J88*(1+M90)</f>
        <v>0.12349391195310699</v>
      </c>
      <c r="K90" s="172"/>
      <c r="L90" s="47"/>
      <c r="M90" s="60">
        <v>2.5000000000000001E-2</v>
      </c>
      <c r="N90" s="173">
        <f t="shared" si="6"/>
        <v>49613</v>
      </c>
    </row>
    <row r="91" spans="3:23">
      <c r="L91" s="47">
        <f>L89+1</f>
        <v>12</v>
      </c>
      <c r="N91" s="25">
        <f t="shared" si="6"/>
        <v>49798</v>
      </c>
    </row>
    <row r="92" spans="3:23">
      <c r="J92" s="174">
        <f>J90*(1+M92)</f>
        <v>0.12658125975193499</v>
      </c>
      <c r="K92" s="172"/>
      <c r="L92" s="47"/>
      <c r="M92" s="60">
        <v>2.5000000000000001E-2</v>
      </c>
      <c r="N92" s="173">
        <f t="shared" si="6"/>
        <v>49979</v>
      </c>
    </row>
    <row r="93" spans="3:23">
      <c r="C93" s="40" t="s">
        <v>223</v>
      </c>
      <c r="D93" s="40"/>
      <c r="E93" s="40"/>
      <c r="F93" s="40"/>
      <c r="G93" s="40"/>
      <c r="H93" s="40"/>
      <c r="L93" s="47">
        <f>L91+1</f>
        <v>13</v>
      </c>
      <c r="N93" s="25">
        <f t="shared" si="6"/>
        <v>50163</v>
      </c>
    </row>
    <row r="94" spans="3:23">
      <c r="J94" s="174">
        <f>J92*(1+M94)</f>
        <v>0.12974579124573299</v>
      </c>
      <c r="L94" s="47"/>
      <c r="M94" s="60">
        <v>2.5000000000000001E-2</v>
      </c>
      <c r="N94" s="173">
        <f t="shared" si="6"/>
        <v>50344</v>
      </c>
    </row>
    <row r="95" spans="3:23">
      <c r="L95" s="47">
        <f>L93+1</f>
        <v>14</v>
      </c>
      <c r="N95" s="25">
        <f t="shared" si="6"/>
        <v>50528</v>
      </c>
    </row>
    <row r="96" spans="3:23">
      <c r="J96" s="174">
        <f>J94*(1+M96)</f>
        <v>0.13298943602687599</v>
      </c>
      <c r="L96" s="47"/>
      <c r="M96" s="60">
        <v>2.5000000000000001E-2</v>
      </c>
      <c r="N96" s="173">
        <f t="shared" si="6"/>
        <v>50709</v>
      </c>
    </row>
    <row r="97" spans="10:14">
      <c r="L97" s="47">
        <f>L95+1</f>
        <v>15</v>
      </c>
      <c r="N97" s="25">
        <f t="shared" si="6"/>
        <v>50893</v>
      </c>
    </row>
    <row r="98" spans="10:14">
      <c r="J98" s="174">
        <f>J96*(1+M98)</f>
        <v>0.13631417192754799</v>
      </c>
      <c r="L98" s="47"/>
      <c r="M98" s="60">
        <v>2.5000000000000001E-2</v>
      </c>
      <c r="N98" s="173">
        <f t="shared" si="6"/>
        <v>51074</v>
      </c>
    </row>
    <row r="99" spans="10:14">
      <c r="L99" s="47">
        <f>L97+1</f>
        <v>16</v>
      </c>
      <c r="N99" s="25">
        <f t="shared" si="6"/>
        <v>51259</v>
      </c>
    </row>
    <row r="100" spans="10:14">
      <c r="J100" s="174">
        <f>J98*(1+M100)</f>
        <v>0.13972202622573701</v>
      </c>
      <c r="L100" s="47"/>
      <c r="M100" s="60">
        <v>2.5000000000000001E-2</v>
      </c>
      <c r="N100" s="173">
        <f t="shared" si="6"/>
        <v>51440</v>
      </c>
    </row>
    <row r="101" spans="10:14">
      <c r="L101" s="47">
        <f>L99+1</f>
        <v>17</v>
      </c>
      <c r="N101" s="25">
        <f t="shared" si="6"/>
        <v>51624</v>
      </c>
    </row>
    <row r="102" spans="10:14">
      <c r="J102" s="174">
        <f>J100*(1+M102)</f>
        <v>0.14321507688137999</v>
      </c>
      <c r="L102" s="47"/>
      <c r="M102" s="60">
        <v>2.5000000000000001E-2</v>
      </c>
      <c r="N102" s="173">
        <f t="shared" si="6"/>
        <v>51805</v>
      </c>
    </row>
    <row r="103" spans="10:14">
      <c r="L103" s="47">
        <f>L101+1</f>
        <v>18</v>
      </c>
      <c r="N103" s="25">
        <f t="shared" si="6"/>
        <v>51989</v>
      </c>
    </row>
  </sheetData>
  <mergeCells count="1">
    <mergeCell ref="P79:W83"/>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92D050"/>
  </sheetPr>
  <dimension ref="A1:Q69"/>
  <sheetViews>
    <sheetView topLeftCell="B1" zoomScale="89" zoomScaleNormal="89" workbookViewId="0">
      <selection activeCell="M51" sqref="M51"/>
    </sheetView>
  </sheetViews>
  <sheetFormatPr defaultColWidth="9" defaultRowHeight="14"/>
  <cols>
    <col min="2" max="2" width="21.81640625" customWidth="1"/>
    <col min="3" max="3" width="24.7265625" customWidth="1"/>
    <col min="4" max="4" width="12.81640625" customWidth="1"/>
    <col min="5" max="5" width="17.81640625" customWidth="1"/>
    <col min="6" max="6" width="22.26953125" customWidth="1"/>
    <col min="8" max="8" width="22.453125" customWidth="1"/>
    <col min="9" max="9" width="15.453125" customWidth="1"/>
    <col min="10" max="10" width="12.81640625" customWidth="1"/>
    <col min="11" max="12" width="18.453125" customWidth="1"/>
    <col min="13" max="13" width="13.1796875" customWidth="1"/>
    <col min="14" max="14" width="8.81640625" customWidth="1"/>
    <col min="15" max="17" width="12.1796875" customWidth="1"/>
    <col min="18" max="21" width="23.26953125" customWidth="1"/>
    <col min="22" max="22" width="12.453125" customWidth="1"/>
    <col min="23" max="23" width="21.1796875" customWidth="1"/>
  </cols>
  <sheetData>
    <row r="1" spans="2:13">
      <c r="J1" t="s">
        <v>224</v>
      </c>
    </row>
    <row r="2" spans="2:13">
      <c r="B2" s="394" t="s">
        <v>225</v>
      </c>
      <c r="C2" s="395"/>
      <c r="D2" s="395"/>
      <c r="E2" s="395"/>
      <c r="F2" s="396"/>
      <c r="H2" s="384" t="s">
        <v>226</v>
      </c>
      <c r="I2" s="384"/>
      <c r="J2" s="384"/>
      <c r="K2" s="384"/>
      <c r="L2" s="384"/>
      <c r="M2" s="384"/>
    </row>
    <row r="3" spans="2:13">
      <c r="B3" s="61" t="s">
        <v>141</v>
      </c>
      <c r="C3" s="61" t="s">
        <v>142</v>
      </c>
      <c r="D3" s="61" t="s">
        <v>145</v>
      </c>
      <c r="E3" s="61" t="s">
        <v>146</v>
      </c>
      <c r="F3" s="61" t="s">
        <v>147</v>
      </c>
      <c r="H3" s="61" t="s">
        <v>141</v>
      </c>
      <c r="I3" s="61" t="s">
        <v>142</v>
      </c>
      <c r="J3" s="61" t="s">
        <v>145</v>
      </c>
      <c r="K3" s="61" t="s">
        <v>146</v>
      </c>
      <c r="L3" s="61" t="s">
        <v>147</v>
      </c>
    </row>
    <row r="4" spans="2:13">
      <c r="B4" s="4" t="s">
        <v>104</v>
      </c>
      <c r="C4" s="4" t="s">
        <v>227</v>
      </c>
      <c r="D4" s="4" t="s">
        <v>112</v>
      </c>
      <c r="E4" s="4" t="s">
        <v>113</v>
      </c>
      <c r="F4" s="4" t="s">
        <v>114</v>
      </c>
      <c r="H4" s="4" t="s">
        <v>104</v>
      </c>
      <c r="I4" s="4" t="s">
        <v>228</v>
      </c>
      <c r="J4" s="4" t="s">
        <v>112</v>
      </c>
      <c r="K4" s="4" t="s">
        <v>113</v>
      </c>
      <c r="L4" s="4" t="s">
        <v>114</v>
      </c>
      <c r="M4" s="4" t="s">
        <v>112</v>
      </c>
    </row>
    <row r="5" spans="2:13">
      <c r="B5" s="73">
        <v>44196</v>
      </c>
      <c r="C5" s="74">
        <v>64.2</v>
      </c>
      <c r="D5" s="65">
        <f t="shared" ref="D5:D34" si="0">C5</f>
        <v>64.2</v>
      </c>
      <c r="E5" s="74">
        <v>0</v>
      </c>
      <c r="F5" s="75">
        <v>0</v>
      </c>
      <c r="H5" s="73">
        <v>44196</v>
      </c>
      <c r="I5" s="74">
        <v>64.680000000000007</v>
      </c>
      <c r="J5" s="65">
        <f t="shared" ref="J5:J34" si="1">I5</f>
        <v>64.680000000000007</v>
      </c>
      <c r="K5" s="74">
        <v>0</v>
      </c>
      <c r="L5" s="74">
        <v>0</v>
      </c>
      <c r="M5" s="93">
        <f>J5*K5*L5</f>
        <v>0</v>
      </c>
    </row>
    <row r="6" spans="2:13">
      <c r="B6" s="76">
        <v>44227</v>
      </c>
      <c r="C6" s="77">
        <v>64.2</v>
      </c>
      <c r="D6" s="68">
        <f t="shared" si="0"/>
        <v>64.2</v>
      </c>
      <c r="E6" s="77">
        <v>0</v>
      </c>
      <c r="F6" s="78">
        <v>0</v>
      </c>
      <c r="H6" s="76">
        <v>44227</v>
      </c>
      <c r="I6" s="77">
        <v>64.680000000000007</v>
      </c>
      <c r="J6" s="68">
        <f t="shared" si="1"/>
        <v>64.680000000000007</v>
      </c>
      <c r="K6" s="77">
        <v>0</v>
      </c>
      <c r="L6" s="77">
        <v>0</v>
      </c>
      <c r="M6" s="94">
        <f>J6*K6*L6</f>
        <v>0</v>
      </c>
    </row>
    <row r="7" spans="2:13">
      <c r="B7" s="76">
        <v>44255</v>
      </c>
      <c r="C7" s="77">
        <v>64.2</v>
      </c>
      <c r="D7" s="68">
        <f t="shared" si="0"/>
        <v>64.2</v>
      </c>
      <c r="E7" s="77">
        <v>0</v>
      </c>
      <c r="F7" s="78">
        <v>0</v>
      </c>
      <c r="H7" s="76">
        <v>44255</v>
      </c>
      <c r="I7" s="77">
        <v>230</v>
      </c>
      <c r="J7" s="68">
        <f t="shared" si="1"/>
        <v>230</v>
      </c>
      <c r="K7" s="77">
        <v>0.28000000000000003</v>
      </c>
      <c r="L7" s="77">
        <v>1.1000000000000001</v>
      </c>
      <c r="M7" s="94">
        <f>J7*K7*L7</f>
        <v>70.84</v>
      </c>
    </row>
    <row r="8" spans="2:13">
      <c r="B8" s="76">
        <v>44286</v>
      </c>
      <c r="C8" s="77">
        <v>64.2</v>
      </c>
      <c r="D8" s="68">
        <f t="shared" si="0"/>
        <v>64.2</v>
      </c>
      <c r="E8" s="77">
        <v>0</v>
      </c>
      <c r="F8" s="78">
        <v>0</v>
      </c>
      <c r="H8" s="76">
        <v>44286</v>
      </c>
      <c r="I8" s="77">
        <v>262.5</v>
      </c>
      <c r="J8" s="68">
        <f t="shared" si="1"/>
        <v>262.5</v>
      </c>
      <c r="K8" s="77">
        <v>0.28000000000000003</v>
      </c>
      <c r="L8" s="77">
        <v>1.1000000000000001</v>
      </c>
      <c r="M8" s="94">
        <f t="shared" ref="M8:M34" si="2">J8*K8*L8</f>
        <v>80.849999999999994</v>
      </c>
    </row>
    <row r="9" spans="2:13">
      <c r="B9" s="76">
        <v>44316</v>
      </c>
      <c r="C9" s="77">
        <v>67.58</v>
      </c>
      <c r="D9" s="68">
        <f t="shared" si="0"/>
        <v>67.58</v>
      </c>
      <c r="E9" s="77">
        <v>0</v>
      </c>
      <c r="F9" s="78">
        <v>0</v>
      </c>
      <c r="H9" s="76">
        <v>44316</v>
      </c>
      <c r="I9" s="77">
        <v>265</v>
      </c>
      <c r="J9" s="68">
        <f t="shared" si="1"/>
        <v>265</v>
      </c>
      <c r="K9" s="77">
        <v>0.28000000000000003</v>
      </c>
      <c r="L9" s="77">
        <v>1.1000000000000001</v>
      </c>
      <c r="M9" s="94">
        <f t="shared" si="2"/>
        <v>81.62</v>
      </c>
    </row>
    <row r="10" spans="2:13">
      <c r="B10" s="76">
        <v>44347</v>
      </c>
      <c r="C10" s="77">
        <v>67.7</v>
      </c>
      <c r="D10" s="68">
        <f t="shared" si="0"/>
        <v>67.7</v>
      </c>
      <c r="E10" s="77">
        <v>0</v>
      </c>
      <c r="F10" s="78">
        <v>0</v>
      </c>
      <c r="H10" s="76">
        <v>44347</v>
      </c>
      <c r="I10" s="77">
        <v>265</v>
      </c>
      <c r="J10" s="68">
        <f t="shared" si="1"/>
        <v>265</v>
      </c>
      <c r="K10" s="77">
        <v>0.28000000000000003</v>
      </c>
      <c r="L10" s="77">
        <v>1.1000000000000001</v>
      </c>
      <c r="M10" s="94">
        <f t="shared" si="2"/>
        <v>81.62</v>
      </c>
    </row>
    <row r="11" spans="2:13">
      <c r="B11" s="76">
        <v>44377</v>
      </c>
      <c r="C11" s="77">
        <v>67.7</v>
      </c>
      <c r="D11" s="68">
        <f t="shared" si="0"/>
        <v>67.7</v>
      </c>
      <c r="E11" s="77">
        <v>0</v>
      </c>
      <c r="F11" s="78">
        <v>0</v>
      </c>
      <c r="H11" s="76">
        <v>44377</v>
      </c>
      <c r="I11" s="77">
        <v>278.33</v>
      </c>
      <c r="J11" s="68">
        <f t="shared" si="1"/>
        <v>278.33</v>
      </c>
      <c r="K11" s="77">
        <v>0.28000000000000003</v>
      </c>
      <c r="L11" s="77">
        <v>1.1000000000000001</v>
      </c>
      <c r="M11" s="94">
        <f t="shared" si="2"/>
        <v>85.725639999999999</v>
      </c>
    </row>
    <row r="12" spans="2:13">
      <c r="B12" s="76">
        <v>44408</v>
      </c>
      <c r="C12" s="77">
        <v>67.7</v>
      </c>
      <c r="D12" s="68">
        <f t="shared" si="0"/>
        <v>67.7</v>
      </c>
      <c r="E12" s="77">
        <v>0</v>
      </c>
      <c r="F12" s="78">
        <v>0</v>
      </c>
      <c r="H12" s="76">
        <v>44408</v>
      </c>
      <c r="I12" s="77">
        <v>295</v>
      </c>
      <c r="J12" s="68">
        <f t="shared" si="1"/>
        <v>295</v>
      </c>
      <c r="K12" s="77">
        <v>0.28000000000000003</v>
      </c>
      <c r="L12" s="77">
        <v>1.1000000000000001</v>
      </c>
      <c r="M12" s="94">
        <f t="shared" si="2"/>
        <v>90.86</v>
      </c>
    </row>
    <row r="13" spans="2:13">
      <c r="B13" s="76">
        <v>44439</v>
      </c>
      <c r="C13" s="77">
        <v>67.7</v>
      </c>
      <c r="D13" s="68">
        <f t="shared" si="0"/>
        <v>67.7</v>
      </c>
      <c r="E13" s="77">
        <v>0</v>
      </c>
      <c r="F13" s="78">
        <v>0</v>
      </c>
      <c r="H13" s="76">
        <v>44439</v>
      </c>
      <c r="I13" s="77">
        <v>295</v>
      </c>
      <c r="J13" s="68">
        <f t="shared" si="1"/>
        <v>295</v>
      </c>
      <c r="K13" s="77">
        <v>0.28000000000000003</v>
      </c>
      <c r="L13" s="77">
        <v>1.1000000000000001</v>
      </c>
      <c r="M13" s="94">
        <f t="shared" si="2"/>
        <v>90.86</v>
      </c>
    </row>
    <row r="14" spans="2:13">
      <c r="B14" s="76">
        <v>44469</v>
      </c>
      <c r="C14" s="77">
        <v>69.099999999999994</v>
      </c>
      <c r="D14" s="68">
        <f t="shared" si="0"/>
        <v>69.099999999999994</v>
      </c>
      <c r="E14" s="77">
        <v>0</v>
      </c>
      <c r="F14" s="78">
        <v>0</v>
      </c>
      <c r="H14" s="76">
        <v>44469</v>
      </c>
      <c r="I14" s="77">
        <v>335</v>
      </c>
      <c r="J14" s="68">
        <f t="shared" si="1"/>
        <v>335</v>
      </c>
      <c r="K14" s="77">
        <v>0.28000000000000003</v>
      </c>
      <c r="L14" s="77">
        <v>1.1000000000000001</v>
      </c>
      <c r="M14" s="94">
        <f t="shared" si="2"/>
        <v>103.18</v>
      </c>
    </row>
    <row r="15" spans="2:13">
      <c r="B15" s="76">
        <v>44500</v>
      </c>
      <c r="C15" s="77">
        <v>69.7</v>
      </c>
      <c r="D15" s="68">
        <f t="shared" si="0"/>
        <v>69.7</v>
      </c>
      <c r="E15" s="77">
        <v>0</v>
      </c>
      <c r="F15" s="78">
        <v>0</v>
      </c>
      <c r="H15" s="76">
        <v>44500</v>
      </c>
      <c r="I15" s="77">
        <v>335</v>
      </c>
      <c r="J15" s="68">
        <f t="shared" si="1"/>
        <v>335</v>
      </c>
      <c r="K15" s="77">
        <v>0.28000000000000003</v>
      </c>
      <c r="L15" s="77">
        <v>1.1000000000000001</v>
      </c>
      <c r="M15" s="94">
        <f t="shared" si="2"/>
        <v>103.18</v>
      </c>
    </row>
    <row r="16" spans="2:13">
      <c r="B16" s="76">
        <v>44530</v>
      </c>
      <c r="C16" s="77">
        <v>69.7</v>
      </c>
      <c r="D16" s="68">
        <f t="shared" si="0"/>
        <v>69.7</v>
      </c>
      <c r="E16" s="77">
        <v>0</v>
      </c>
      <c r="F16" s="78">
        <v>0</v>
      </c>
      <c r="H16" s="76">
        <v>44530</v>
      </c>
      <c r="I16" s="77">
        <v>342</v>
      </c>
      <c r="J16" s="68">
        <f t="shared" si="1"/>
        <v>342</v>
      </c>
      <c r="K16" s="77">
        <v>0.28000000000000003</v>
      </c>
      <c r="L16" s="77">
        <v>1.1000000000000001</v>
      </c>
      <c r="M16" s="94">
        <f t="shared" si="2"/>
        <v>105.336</v>
      </c>
    </row>
    <row r="17" spans="2:14">
      <c r="B17" s="76">
        <v>44561</v>
      </c>
      <c r="C17" s="77">
        <v>69.7</v>
      </c>
      <c r="D17" s="68">
        <f t="shared" si="0"/>
        <v>69.7</v>
      </c>
      <c r="E17" s="77">
        <v>0</v>
      </c>
      <c r="F17" s="78">
        <v>0</v>
      </c>
      <c r="H17" s="76">
        <v>44561</v>
      </c>
      <c r="I17" s="77">
        <v>347</v>
      </c>
      <c r="J17" s="68">
        <f t="shared" si="1"/>
        <v>347</v>
      </c>
      <c r="K17" s="77">
        <v>0.28000000000000003</v>
      </c>
      <c r="L17" s="77">
        <v>1.1000000000000001</v>
      </c>
      <c r="M17" s="94">
        <f t="shared" si="2"/>
        <v>106.876</v>
      </c>
    </row>
    <row r="18" spans="2:14">
      <c r="B18" s="76">
        <v>44592</v>
      </c>
      <c r="C18" s="77">
        <v>69.7</v>
      </c>
      <c r="D18" s="68">
        <f t="shared" si="0"/>
        <v>69.7</v>
      </c>
      <c r="E18" s="77">
        <v>0</v>
      </c>
      <c r="F18" s="78">
        <v>0</v>
      </c>
      <c r="H18" s="76">
        <v>44592</v>
      </c>
      <c r="I18" s="77">
        <v>347.5</v>
      </c>
      <c r="J18" s="68">
        <f t="shared" si="1"/>
        <v>347.5</v>
      </c>
      <c r="K18" s="77">
        <v>0.28000000000000003</v>
      </c>
      <c r="L18" s="77">
        <v>1.1000000000000001</v>
      </c>
      <c r="M18" s="94">
        <f t="shared" si="2"/>
        <v>107.03</v>
      </c>
    </row>
    <row r="19" spans="2:14">
      <c r="B19" s="76">
        <v>44620</v>
      </c>
      <c r="C19" s="77">
        <v>68.995999999999995</v>
      </c>
      <c r="D19" s="68">
        <f t="shared" si="0"/>
        <v>68.995999999999995</v>
      </c>
      <c r="E19" s="77">
        <v>0</v>
      </c>
      <c r="F19" s="78">
        <v>0</v>
      </c>
      <c r="H19" s="76">
        <v>44620</v>
      </c>
      <c r="I19" s="77">
        <v>412.5</v>
      </c>
      <c r="J19" s="68">
        <f t="shared" si="1"/>
        <v>412.5</v>
      </c>
      <c r="K19" s="77">
        <v>0.28000000000000003</v>
      </c>
      <c r="L19" s="77">
        <v>1.1000000000000001</v>
      </c>
      <c r="M19" s="94">
        <f t="shared" si="2"/>
        <v>127.05</v>
      </c>
    </row>
    <row r="20" spans="2:14">
      <c r="B20" s="76">
        <v>44651</v>
      </c>
      <c r="C20" s="77">
        <v>68.97</v>
      </c>
      <c r="D20" s="68">
        <f t="shared" si="0"/>
        <v>68.97</v>
      </c>
      <c r="E20" s="77">
        <v>0</v>
      </c>
      <c r="F20" s="78">
        <v>0</v>
      </c>
      <c r="H20" s="76">
        <v>44651</v>
      </c>
      <c r="I20" s="77">
        <v>679.7</v>
      </c>
      <c r="J20" s="68">
        <f t="shared" si="1"/>
        <v>679.7</v>
      </c>
      <c r="K20" s="77">
        <v>0.28000000000000003</v>
      </c>
      <c r="L20" s="77">
        <v>1.1000000000000001</v>
      </c>
      <c r="M20" s="94">
        <f t="shared" si="2"/>
        <v>209.3476</v>
      </c>
    </row>
    <row r="21" spans="2:14">
      <c r="B21" s="76">
        <v>44681</v>
      </c>
      <c r="C21" s="77">
        <v>68.97</v>
      </c>
      <c r="D21" s="68">
        <f t="shared" si="0"/>
        <v>68.97</v>
      </c>
      <c r="E21" s="77">
        <v>0</v>
      </c>
      <c r="F21" s="78">
        <v>0</v>
      </c>
      <c r="H21" s="76">
        <v>44681</v>
      </c>
      <c r="I21" s="77">
        <v>675</v>
      </c>
      <c r="J21" s="68">
        <f t="shared" si="1"/>
        <v>675</v>
      </c>
      <c r="K21" s="77">
        <v>0.28000000000000003</v>
      </c>
      <c r="L21" s="77">
        <v>1.1000000000000001</v>
      </c>
      <c r="M21" s="94">
        <f t="shared" si="2"/>
        <v>207.9</v>
      </c>
    </row>
    <row r="22" spans="2:14">
      <c r="B22" s="76">
        <v>44712</v>
      </c>
      <c r="C22" s="77">
        <v>68.97</v>
      </c>
      <c r="D22" s="68">
        <f t="shared" si="0"/>
        <v>68.97</v>
      </c>
      <c r="E22" s="77">
        <v>0</v>
      </c>
      <c r="F22" s="78">
        <v>0</v>
      </c>
      <c r="H22" s="76">
        <v>44712</v>
      </c>
      <c r="I22" s="77">
        <v>675</v>
      </c>
      <c r="J22" s="68">
        <f t="shared" si="1"/>
        <v>675</v>
      </c>
      <c r="K22" s="132"/>
      <c r="L22" s="132"/>
      <c r="M22" s="94">
        <f t="shared" si="2"/>
        <v>0</v>
      </c>
      <c r="N22" t="s">
        <v>229</v>
      </c>
    </row>
    <row r="23" spans="2:14">
      <c r="B23" s="76">
        <v>44742</v>
      </c>
      <c r="C23" s="77">
        <v>68.97</v>
      </c>
      <c r="D23" s="68">
        <f t="shared" si="0"/>
        <v>68.97</v>
      </c>
      <c r="E23" s="77">
        <v>0</v>
      </c>
      <c r="F23" s="78">
        <v>0</v>
      </c>
      <c r="H23" s="76">
        <v>44742</v>
      </c>
      <c r="I23" s="77">
        <v>690</v>
      </c>
      <c r="J23" s="68">
        <f t="shared" si="1"/>
        <v>690</v>
      </c>
      <c r="K23" s="132"/>
      <c r="L23" s="132"/>
      <c r="M23" s="94">
        <f t="shared" si="2"/>
        <v>0</v>
      </c>
    </row>
    <row r="24" spans="2:14">
      <c r="B24" s="76">
        <v>44773</v>
      </c>
      <c r="C24" s="77">
        <v>68.97</v>
      </c>
      <c r="D24" s="68">
        <f t="shared" si="0"/>
        <v>68.97</v>
      </c>
      <c r="E24" s="77">
        <v>0</v>
      </c>
      <c r="F24" s="78">
        <v>0</v>
      </c>
      <c r="H24" s="76">
        <v>44773</v>
      </c>
      <c r="I24" s="77">
        <v>810</v>
      </c>
      <c r="J24" s="68">
        <f t="shared" si="1"/>
        <v>810</v>
      </c>
      <c r="K24" s="132"/>
      <c r="L24" s="132"/>
      <c r="M24" s="94">
        <f t="shared" si="2"/>
        <v>0</v>
      </c>
    </row>
    <row r="25" spans="2:14">
      <c r="B25" s="76">
        <v>44804</v>
      </c>
      <c r="C25" s="77">
        <v>70.53</v>
      </c>
      <c r="D25" s="68">
        <f t="shared" si="0"/>
        <v>70.53</v>
      </c>
      <c r="E25" s="77">
        <v>0</v>
      </c>
      <c r="F25" s="78">
        <v>0</v>
      </c>
      <c r="H25" s="76">
        <v>44804</v>
      </c>
      <c r="I25" s="77">
        <v>770</v>
      </c>
      <c r="J25" s="68">
        <f t="shared" si="1"/>
        <v>770</v>
      </c>
      <c r="K25" s="132"/>
      <c r="L25" s="132"/>
      <c r="M25" s="94">
        <f t="shared" si="2"/>
        <v>0</v>
      </c>
    </row>
    <row r="26" spans="2:14">
      <c r="B26" s="76">
        <v>44834</v>
      </c>
      <c r="C26" s="77">
        <v>70.53</v>
      </c>
      <c r="D26" s="68">
        <f t="shared" si="0"/>
        <v>70.53</v>
      </c>
      <c r="E26" s="77">
        <v>0</v>
      </c>
      <c r="F26" s="78">
        <v>0</v>
      </c>
      <c r="H26" s="76">
        <v>44834</v>
      </c>
      <c r="I26" s="77">
        <v>740</v>
      </c>
      <c r="J26" s="68">
        <f t="shared" si="1"/>
        <v>740</v>
      </c>
      <c r="K26" s="132"/>
      <c r="L26" s="132"/>
      <c r="M26" s="94">
        <f t="shared" si="2"/>
        <v>0</v>
      </c>
    </row>
    <row r="27" spans="2:14">
      <c r="B27" s="76">
        <v>44865</v>
      </c>
      <c r="C27" s="77">
        <v>70.53</v>
      </c>
      <c r="D27" s="68">
        <f t="shared" si="0"/>
        <v>70.53</v>
      </c>
      <c r="E27" s="77">
        <v>0</v>
      </c>
      <c r="F27" s="78">
        <v>0</v>
      </c>
      <c r="H27" s="76">
        <v>44865</v>
      </c>
      <c r="I27" s="77">
        <v>740</v>
      </c>
      <c r="J27" s="68">
        <f t="shared" si="1"/>
        <v>740</v>
      </c>
      <c r="K27" s="132"/>
      <c r="L27" s="132"/>
      <c r="M27" s="94">
        <f t="shared" si="2"/>
        <v>0</v>
      </c>
    </row>
    <row r="28" spans="2:14">
      <c r="B28" s="76">
        <v>44895</v>
      </c>
      <c r="C28" s="77">
        <v>70.53</v>
      </c>
      <c r="D28" s="68">
        <f t="shared" si="0"/>
        <v>70.53</v>
      </c>
      <c r="E28" s="77">
        <v>0</v>
      </c>
      <c r="F28" s="78">
        <v>0</v>
      </c>
      <c r="H28" s="76">
        <v>44895</v>
      </c>
      <c r="I28" s="77">
        <v>820</v>
      </c>
      <c r="J28" s="68">
        <f t="shared" si="1"/>
        <v>820</v>
      </c>
      <c r="K28" s="132"/>
      <c r="L28" s="132"/>
      <c r="M28" s="94">
        <f t="shared" si="2"/>
        <v>0</v>
      </c>
    </row>
    <row r="29" spans="2:14">
      <c r="B29" s="76">
        <v>44926</v>
      </c>
      <c r="C29" s="77">
        <v>70.53</v>
      </c>
      <c r="D29" s="68">
        <f t="shared" si="0"/>
        <v>70.53</v>
      </c>
      <c r="E29" s="77">
        <v>0</v>
      </c>
      <c r="F29" s="78">
        <v>0</v>
      </c>
      <c r="H29" s="76">
        <v>44926</v>
      </c>
      <c r="I29" s="77">
        <v>830</v>
      </c>
      <c r="J29" s="68">
        <f t="shared" si="1"/>
        <v>830</v>
      </c>
      <c r="K29" s="132"/>
      <c r="L29" s="132"/>
      <c r="M29" s="94">
        <f t="shared" si="2"/>
        <v>0</v>
      </c>
    </row>
    <row r="30" spans="2:14">
      <c r="B30" s="76">
        <v>44957</v>
      </c>
      <c r="C30" s="77">
        <v>75.86</v>
      </c>
      <c r="D30" s="68">
        <f t="shared" si="0"/>
        <v>75.86</v>
      </c>
      <c r="E30" s="77">
        <v>0</v>
      </c>
      <c r="F30" s="78">
        <v>0</v>
      </c>
      <c r="H30" s="76">
        <v>44957</v>
      </c>
      <c r="I30" s="77">
        <v>862.5</v>
      </c>
      <c r="J30" s="68">
        <f t="shared" si="1"/>
        <v>862.5</v>
      </c>
      <c r="K30" s="132"/>
      <c r="L30" s="132"/>
      <c r="M30" s="94">
        <f t="shared" si="2"/>
        <v>0</v>
      </c>
    </row>
    <row r="31" spans="2:14">
      <c r="B31" s="76">
        <v>44985</v>
      </c>
      <c r="C31" s="77">
        <v>81.180000000000007</v>
      </c>
      <c r="D31" s="68">
        <f t="shared" si="0"/>
        <v>81.180000000000007</v>
      </c>
      <c r="E31" s="77">
        <v>0</v>
      </c>
      <c r="F31" s="78">
        <v>0</v>
      </c>
      <c r="H31" s="76">
        <v>44985</v>
      </c>
      <c r="I31" s="77">
        <v>865</v>
      </c>
      <c r="J31" s="68">
        <f t="shared" si="1"/>
        <v>865</v>
      </c>
      <c r="K31" s="132"/>
      <c r="L31" s="132"/>
      <c r="M31" s="94">
        <f t="shared" si="2"/>
        <v>0</v>
      </c>
    </row>
    <row r="32" spans="2:14">
      <c r="B32" s="76">
        <v>45443</v>
      </c>
      <c r="C32" s="77">
        <v>76.150000000000006</v>
      </c>
      <c r="D32" s="68">
        <f t="shared" si="0"/>
        <v>76.150000000000006</v>
      </c>
      <c r="E32" s="77">
        <v>0</v>
      </c>
      <c r="F32" s="78">
        <v>0</v>
      </c>
      <c r="H32" s="76">
        <v>45443</v>
      </c>
      <c r="I32" s="77">
        <v>1248</v>
      </c>
      <c r="J32" s="68">
        <f t="shared" si="1"/>
        <v>1248</v>
      </c>
      <c r="K32" s="132">
        <v>0.28000000000000003</v>
      </c>
      <c r="L32" s="132">
        <v>1.1000000000000001</v>
      </c>
      <c r="M32" s="94">
        <f t="shared" si="2"/>
        <v>384.38400000000001</v>
      </c>
    </row>
    <row r="33" spans="2:13">
      <c r="B33" s="76">
        <v>45473</v>
      </c>
      <c r="C33" s="77">
        <v>76.150000000000006</v>
      </c>
      <c r="D33" s="68">
        <f t="shared" si="0"/>
        <v>76.150000000000006</v>
      </c>
      <c r="E33" s="77">
        <v>0</v>
      </c>
      <c r="F33" s="78">
        <v>0</v>
      </c>
      <c r="H33" s="76">
        <v>45473</v>
      </c>
      <c r="I33" s="77">
        <f>(25160000+25500000+12780000)/40000</f>
        <v>1586</v>
      </c>
      <c r="J33" s="68">
        <f t="shared" si="1"/>
        <v>1586</v>
      </c>
      <c r="K33" s="132">
        <v>0.28000000000000003</v>
      </c>
      <c r="L33" s="132">
        <v>1.1000000000000001</v>
      </c>
      <c r="M33" s="94">
        <f t="shared" si="2"/>
        <v>488.488</v>
      </c>
    </row>
    <row r="34" spans="2:13">
      <c r="B34" s="76">
        <v>45504</v>
      </c>
      <c r="C34" s="77">
        <v>76.150000000000006</v>
      </c>
      <c r="D34" s="68">
        <f t="shared" si="0"/>
        <v>76.150000000000006</v>
      </c>
      <c r="E34" s="77">
        <v>0</v>
      </c>
      <c r="F34" s="78">
        <v>0</v>
      </c>
      <c r="H34" s="76">
        <v>45504</v>
      </c>
      <c r="I34" s="77">
        <f>(24760000+12380000)/(20000+10000)</f>
        <v>1238</v>
      </c>
      <c r="J34" s="68">
        <f t="shared" si="1"/>
        <v>1238</v>
      </c>
      <c r="K34" s="132">
        <v>0.28000000000000003</v>
      </c>
      <c r="L34" s="132">
        <v>1.1000000000000001</v>
      </c>
      <c r="M34" s="94">
        <f t="shared" si="2"/>
        <v>381.30399999999997</v>
      </c>
    </row>
    <row r="35" spans="2:13">
      <c r="B35" s="76">
        <v>45535</v>
      </c>
      <c r="C35" s="77">
        <v>76.150000000000006</v>
      </c>
      <c r="D35" s="68">
        <f t="shared" ref="D35:D36" si="3">C35</f>
        <v>76.150000000000006</v>
      </c>
      <c r="E35" s="77">
        <v>0</v>
      </c>
      <c r="F35" s="78">
        <v>0</v>
      </c>
      <c r="H35" s="76">
        <v>45535</v>
      </c>
      <c r="I35" s="77">
        <v>1238</v>
      </c>
      <c r="J35" s="68">
        <f t="shared" ref="J35:J36" si="4">I35</f>
        <v>1238</v>
      </c>
      <c r="K35" s="132">
        <v>0.28000000000000003</v>
      </c>
      <c r="L35" s="132">
        <v>1.1000000000000001</v>
      </c>
      <c r="M35" s="94">
        <f t="shared" ref="M35:M36" si="5">J35*K35*L35</f>
        <v>381.30399999999997</v>
      </c>
    </row>
    <row r="36" spans="2:13">
      <c r="B36" s="76">
        <v>45565</v>
      </c>
      <c r="C36" s="77">
        <v>209.5</v>
      </c>
      <c r="D36" s="68">
        <f t="shared" si="3"/>
        <v>209.5</v>
      </c>
      <c r="E36" s="77">
        <v>0</v>
      </c>
      <c r="F36" s="78">
        <v>0</v>
      </c>
      <c r="H36" s="76">
        <v>45565</v>
      </c>
      <c r="I36" s="77">
        <v>1238</v>
      </c>
      <c r="J36" s="68">
        <f t="shared" si="4"/>
        <v>1238</v>
      </c>
      <c r="K36" s="132">
        <v>0.28000000000000003</v>
      </c>
      <c r="L36" s="132">
        <v>1.1000000000000001</v>
      </c>
      <c r="M36" s="94">
        <f t="shared" si="5"/>
        <v>381.30399999999997</v>
      </c>
    </row>
    <row r="37" spans="2:13">
      <c r="B37" s="76">
        <v>45596</v>
      </c>
      <c r="C37" s="77">
        <v>209.5</v>
      </c>
      <c r="D37" s="68">
        <f t="shared" ref="D37" si="6">C37</f>
        <v>209.5</v>
      </c>
      <c r="E37" s="77">
        <v>0</v>
      </c>
      <c r="F37" s="78">
        <v>0</v>
      </c>
      <c r="H37" s="76">
        <v>45596</v>
      </c>
      <c r="I37" s="77">
        <v>1238</v>
      </c>
      <c r="J37" s="68">
        <f t="shared" ref="J37:J49" si="7">I37</f>
        <v>1238</v>
      </c>
      <c r="K37" s="132">
        <v>0.28000000000000003</v>
      </c>
      <c r="L37" s="132">
        <v>1.1000000000000001</v>
      </c>
      <c r="M37" s="94">
        <f t="shared" ref="M37:M49" si="8">J37*K37*L37</f>
        <v>381.30399999999997</v>
      </c>
    </row>
    <row r="38" spans="2:13">
      <c r="B38" s="76">
        <v>45626</v>
      </c>
      <c r="C38" s="77">
        <v>209.5</v>
      </c>
      <c r="D38" s="68">
        <f t="shared" ref="D38:D41" si="9">C38</f>
        <v>209.5</v>
      </c>
      <c r="E38" s="77">
        <v>0</v>
      </c>
      <c r="F38" s="78">
        <v>0</v>
      </c>
      <c r="H38" s="76">
        <v>45626</v>
      </c>
      <c r="I38" s="77">
        <v>1238</v>
      </c>
      <c r="J38" s="68">
        <f t="shared" si="7"/>
        <v>1238</v>
      </c>
      <c r="K38" s="132">
        <v>0.28000000000000003</v>
      </c>
      <c r="L38" s="132">
        <v>1.1000000000000001</v>
      </c>
      <c r="M38" s="94">
        <f t="shared" si="8"/>
        <v>381.30399999999997</v>
      </c>
    </row>
    <row r="39" spans="2:13">
      <c r="B39" s="76">
        <v>45657</v>
      </c>
      <c r="C39" s="77">
        <v>209.5</v>
      </c>
      <c r="D39" s="68">
        <f t="shared" si="9"/>
        <v>209.5</v>
      </c>
      <c r="E39" s="77">
        <v>0</v>
      </c>
      <c r="F39" s="78">
        <v>0</v>
      </c>
      <c r="H39" s="76">
        <v>45657</v>
      </c>
      <c r="I39" s="77">
        <v>1238</v>
      </c>
      <c r="J39" s="68">
        <f t="shared" si="7"/>
        <v>1238</v>
      </c>
      <c r="K39" s="132">
        <v>0.28000000000000003</v>
      </c>
      <c r="L39" s="132">
        <v>1.1000000000000001</v>
      </c>
      <c r="M39" s="94">
        <f t="shared" si="8"/>
        <v>381.30399999999997</v>
      </c>
    </row>
    <row r="40" spans="2:13">
      <c r="B40" s="76">
        <v>45688</v>
      </c>
      <c r="C40" s="77">
        <v>209.5</v>
      </c>
      <c r="D40" s="68">
        <f t="shared" si="9"/>
        <v>209.5</v>
      </c>
      <c r="E40" s="77">
        <v>0</v>
      </c>
      <c r="F40" s="78">
        <v>0</v>
      </c>
      <c r="H40" s="76">
        <v>45688</v>
      </c>
      <c r="I40" s="77">
        <v>1223</v>
      </c>
      <c r="J40" s="68">
        <f t="shared" si="7"/>
        <v>1223</v>
      </c>
      <c r="K40" s="132">
        <v>0.28000000000000003</v>
      </c>
      <c r="L40" s="132">
        <v>1.1000000000000001</v>
      </c>
      <c r="M40" s="94">
        <f t="shared" si="8"/>
        <v>376.68400000000003</v>
      </c>
    </row>
    <row r="41" spans="2:13">
      <c r="B41" s="76">
        <v>45716</v>
      </c>
      <c r="C41" s="77">
        <v>209.5</v>
      </c>
      <c r="D41" s="68">
        <f t="shared" si="9"/>
        <v>209.5</v>
      </c>
      <c r="E41" s="77">
        <v>0</v>
      </c>
      <c r="F41" s="78">
        <v>0</v>
      </c>
      <c r="H41" s="76">
        <f t="shared" ref="H41:H49" si="10">B41</f>
        <v>45716</v>
      </c>
      <c r="I41" s="77">
        <f>(24400000+23300000*3)/(20000*4)</f>
        <v>1178.75</v>
      </c>
      <c r="J41" s="68">
        <f t="shared" si="7"/>
        <v>1178.75</v>
      </c>
      <c r="K41" s="132">
        <v>0.28000000000000003</v>
      </c>
      <c r="L41" s="132">
        <v>1.1000000000000001</v>
      </c>
      <c r="M41" s="94">
        <f t="shared" si="8"/>
        <v>363.05500000000001</v>
      </c>
    </row>
    <row r="42" spans="2:13">
      <c r="B42" s="76">
        <v>45747</v>
      </c>
      <c r="C42" s="77">
        <v>209.5</v>
      </c>
      <c r="D42" s="68">
        <f t="shared" ref="D42:D45" si="11">C42</f>
        <v>209.5</v>
      </c>
      <c r="E42" s="77">
        <v>0</v>
      </c>
      <c r="F42" s="78">
        <v>0</v>
      </c>
      <c r="H42" s="76">
        <f t="shared" si="10"/>
        <v>45747</v>
      </c>
      <c r="I42" s="77">
        <v>1220</v>
      </c>
      <c r="J42" s="68">
        <f t="shared" si="7"/>
        <v>1220</v>
      </c>
      <c r="K42" s="132">
        <v>0.28000000000000003</v>
      </c>
      <c r="L42" s="132">
        <v>1.1000000000000001</v>
      </c>
      <c r="M42" s="94">
        <f t="shared" si="8"/>
        <v>375.76</v>
      </c>
    </row>
    <row r="43" spans="2:13">
      <c r="B43" s="76">
        <v>45777</v>
      </c>
      <c r="C43" s="77">
        <v>209.5</v>
      </c>
      <c r="D43" s="68">
        <f t="shared" si="11"/>
        <v>209.5</v>
      </c>
      <c r="E43" s="77">
        <v>0</v>
      </c>
      <c r="F43" s="78">
        <v>0</v>
      </c>
      <c r="H43" s="76">
        <f t="shared" si="10"/>
        <v>45777</v>
      </c>
      <c r="I43" s="77">
        <f>1160*20000/60000+1185*40000/60000</f>
        <v>1176.6666666666699</v>
      </c>
      <c r="J43" s="68">
        <f t="shared" ref="J43:J45" si="12">I43</f>
        <v>1176.6666666666699</v>
      </c>
      <c r="K43" s="132">
        <v>0.28000000000000003</v>
      </c>
      <c r="L43" s="132">
        <v>1.1000000000000001</v>
      </c>
      <c r="M43" s="94">
        <f t="shared" ref="M43:M45" si="13">J43*K43*L43</f>
        <v>362.41333333333301</v>
      </c>
    </row>
    <row r="44" spans="2:13">
      <c r="B44" s="76">
        <v>45808</v>
      </c>
      <c r="C44" s="77">
        <v>209.5</v>
      </c>
      <c r="D44" s="68">
        <f t="shared" si="11"/>
        <v>209.5</v>
      </c>
      <c r="E44" s="77">
        <v>0</v>
      </c>
      <c r="F44" s="78">
        <v>0</v>
      </c>
      <c r="H44" s="76">
        <f t="shared" si="10"/>
        <v>45808</v>
      </c>
      <c r="I44" s="77">
        <v>1145</v>
      </c>
      <c r="J44" s="68">
        <f t="shared" si="12"/>
        <v>1145</v>
      </c>
      <c r="K44" s="132">
        <v>0.28000000000000003</v>
      </c>
      <c r="L44" s="132">
        <v>1.1000000000000001</v>
      </c>
      <c r="M44" s="94">
        <f t="shared" si="13"/>
        <v>352.66</v>
      </c>
    </row>
    <row r="45" spans="2:13">
      <c r="B45" s="76">
        <v>45838</v>
      </c>
      <c r="C45" s="77">
        <v>209.5</v>
      </c>
      <c r="D45" s="68">
        <f t="shared" si="11"/>
        <v>209.5</v>
      </c>
      <c r="E45" s="77">
        <v>0</v>
      </c>
      <c r="F45" s="78">
        <v>0</v>
      </c>
      <c r="H45" s="76">
        <f t="shared" si="10"/>
        <v>45838</v>
      </c>
      <c r="I45" s="77">
        <v>1143</v>
      </c>
      <c r="J45" s="68">
        <f t="shared" si="12"/>
        <v>1143</v>
      </c>
      <c r="K45" s="132">
        <v>0.28000000000000003</v>
      </c>
      <c r="L45" s="132">
        <v>1.1000000000000001</v>
      </c>
      <c r="M45" s="94">
        <f t="shared" si="13"/>
        <v>352.04399999999998</v>
      </c>
    </row>
    <row r="46" spans="2:13">
      <c r="B46" s="76">
        <v>45868</v>
      </c>
      <c r="C46" s="77">
        <v>209.5</v>
      </c>
      <c r="D46" s="68">
        <v>209.5</v>
      </c>
      <c r="E46" s="77">
        <v>0</v>
      </c>
      <c r="F46" s="78">
        <v>0</v>
      </c>
      <c r="H46" s="76">
        <v>45868</v>
      </c>
      <c r="I46" s="77">
        <v>1145</v>
      </c>
      <c r="J46" s="68">
        <v>1145</v>
      </c>
      <c r="K46" s="132">
        <v>0.28000000000000003</v>
      </c>
      <c r="L46" s="132">
        <v>1.1000000000000001</v>
      </c>
      <c r="M46" s="94">
        <v>352.66</v>
      </c>
    </row>
    <row r="47" spans="2:13">
      <c r="B47" s="76">
        <v>45900</v>
      </c>
      <c r="C47" s="77">
        <v>209.5</v>
      </c>
      <c r="D47" s="68">
        <v>209.5</v>
      </c>
      <c r="E47" s="77"/>
      <c r="F47" s="78"/>
      <c r="H47" s="76">
        <v>45900</v>
      </c>
      <c r="I47" s="77">
        <v>1178.3333333333301</v>
      </c>
      <c r="J47" s="68">
        <v>1178.3333333333301</v>
      </c>
      <c r="K47" s="132">
        <v>0.28000000000000003</v>
      </c>
      <c r="L47" s="132">
        <v>1.1000000000000001</v>
      </c>
      <c r="M47" s="94">
        <v>362.92666666666702</v>
      </c>
    </row>
    <row r="48" spans="2:13">
      <c r="B48" s="76">
        <v>45930</v>
      </c>
      <c r="C48" s="77">
        <v>209.5</v>
      </c>
      <c r="D48" s="68">
        <f t="shared" ref="D48" si="14">C48</f>
        <v>209.5</v>
      </c>
      <c r="E48" s="77"/>
      <c r="F48" s="78"/>
      <c r="H48" s="76">
        <f t="shared" ref="H48" si="15">B48</f>
        <v>45930</v>
      </c>
      <c r="I48" s="77">
        <v>1135</v>
      </c>
      <c r="J48" s="68">
        <f t="shared" ref="J48" si="16">I48</f>
        <v>1135</v>
      </c>
      <c r="K48" s="132">
        <v>0.28000000000000003</v>
      </c>
      <c r="L48" s="132">
        <v>1.1000000000000001</v>
      </c>
      <c r="M48" s="94">
        <f t="shared" ref="M48" si="17">J48*K48*L48</f>
        <v>349.58</v>
      </c>
    </row>
    <row r="49" spans="2:17" ht="11.5" customHeight="1">
      <c r="B49" s="116">
        <v>45961</v>
      </c>
      <c r="C49" s="117">
        <v>209.5</v>
      </c>
      <c r="D49" s="118">
        <f t="shared" ref="D49" si="18">C49</f>
        <v>209.5</v>
      </c>
      <c r="E49" s="119">
        <v>0</v>
      </c>
      <c r="F49" s="120">
        <v>0</v>
      </c>
      <c r="H49" s="116">
        <f t="shared" si="10"/>
        <v>45961</v>
      </c>
      <c r="I49" s="119">
        <f>(1135+1135+1135+1115)/4</f>
        <v>1130</v>
      </c>
      <c r="J49" s="118">
        <f t="shared" si="7"/>
        <v>1130</v>
      </c>
      <c r="K49" s="119">
        <v>0.28000000000000003</v>
      </c>
      <c r="L49" s="119">
        <v>1.1000000000000001</v>
      </c>
      <c r="M49" s="133">
        <f t="shared" si="8"/>
        <v>348.04</v>
      </c>
    </row>
    <row r="51" spans="2:17">
      <c r="B51" t="s">
        <v>177</v>
      </c>
      <c r="C51" t="s">
        <v>230</v>
      </c>
      <c r="D51" s="121">
        <f>D49</f>
        <v>209.5</v>
      </c>
      <c r="L51" t="s">
        <v>230</v>
      </c>
      <c r="M51" s="121">
        <f>M49</f>
        <v>348.04</v>
      </c>
    </row>
    <row r="52" spans="2:17">
      <c r="K52" s="134"/>
    </row>
    <row r="54" spans="2:17">
      <c r="B54" s="122" t="s">
        <v>130</v>
      </c>
      <c r="C54" s="123" t="s">
        <v>131</v>
      </c>
      <c r="D54" s="123">
        <v>1500.97</v>
      </c>
      <c r="E54" s="124">
        <v>45716</v>
      </c>
      <c r="F54" s="29"/>
    </row>
    <row r="55" spans="2:17">
      <c r="B55" s="125">
        <v>7.0999999999999994E-2</v>
      </c>
      <c r="C55" s="123" t="s">
        <v>133</v>
      </c>
      <c r="D55" s="126">
        <f>B55*D54</f>
        <v>106.56887</v>
      </c>
      <c r="E55" s="123" t="s">
        <v>231</v>
      </c>
      <c r="F55" s="88"/>
      <c r="H55" s="127"/>
    </row>
    <row r="56" spans="2:17">
      <c r="B56" s="125">
        <v>0.21</v>
      </c>
      <c r="C56" s="123" t="s">
        <v>135</v>
      </c>
      <c r="D56" s="126">
        <f>B56*D54</f>
        <v>315.20370000000003</v>
      </c>
      <c r="E56" s="123" t="s">
        <v>231</v>
      </c>
      <c r="F56" s="29"/>
    </row>
    <row r="57" spans="2:17">
      <c r="B57" s="125"/>
      <c r="C57" s="123"/>
      <c r="D57" s="126"/>
      <c r="E57" s="123"/>
      <c r="F57" s="29"/>
    </row>
    <row r="58" spans="2:17">
      <c r="B58" s="125"/>
      <c r="C58" s="123" t="s">
        <v>15</v>
      </c>
      <c r="D58" s="126">
        <f>D51</f>
        <v>209.5</v>
      </c>
      <c r="E58" s="123"/>
      <c r="F58" s="29"/>
    </row>
    <row r="59" spans="2:17">
      <c r="B59" s="123"/>
      <c r="C59" s="123" t="s">
        <v>137</v>
      </c>
      <c r="D59" s="128">
        <v>0.15</v>
      </c>
      <c r="E59" s="123"/>
      <c r="F59" s="29"/>
    </row>
    <row r="60" spans="2:17">
      <c r="B60" s="89">
        <f>D60/$D$54</f>
        <v>0.11863994616814499</v>
      </c>
      <c r="C60" s="129" t="s">
        <v>232</v>
      </c>
      <c r="D60" s="130">
        <f>D58*(1-D59)</f>
        <v>178.07499999999999</v>
      </c>
      <c r="E60" s="123" t="s">
        <v>231</v>
      </c>
      <c r="F60" s="29"/>
    </row>
    <row r="61" spans="2:17">
      <c r="B61" s="123"/>
      <c r="C61" s="123"/>
      <c r="D61" s="131"/>
      <c r="E61" s="123"/>
      <c r="F61" s="29"/>
      <c r="Q61" s="44"/>
    </row>
    <row r="62" spans="2:17">
      <c r="B62" s="123"/>
      <c r="C62" s="123" t="s">
        <v>18</v>
      </c>
      <c r="D62" s="131">
        <f>M51</f>
        <v>348.04</v>
      </c>
      <c r="E62" s="123"/>
      <c r="F62" s="29"/>
    </row>
    <row r="63" spans="2:17">
      <c r="B63" s="29"/>
      <c r="C63" s="123" t="s">
        <v>137</v>
      </c>
      <c r="D63" s="128">
        <v>0.24</v>
      </c>
      <c r="E63" s="123"/>
      <c r="F63" s="29"/>
    </row>
    <row r="64" spans="2:17">
      <c r="B64" s="89">
        <f>D64/$D$54</f>
        <v>0.17622630698814801</v>
      </c>
      <c r="C64" s="129" t="s">
        <v>233</v>
      </c>
      <c r="D64" s="130">
        <f>D62*(1-D63)</f>
        <v>264.5104</v>
      </c>
      <c r="E64" s="123" t="s">
        <v>231</v>
      </c>
      <c r="F64" s="29"/>
    </row>
    <row r="65" spans="1:6">
      <c r="C65" s="135"/>
      <c r="D65" s="136"/>
    </row>
    <row r="66" spans="1:6">
      <c r="A66" s="384" t="s">
        <v>139</v>
      </c>
      <c r="B66" s="384"/>
      <c r="C66" s="384"/>
      <c r="D66" s="384"/>
      <c r="E66" s="384"/>
      <c r="F66" s="384"/>
    </row>
    <row r="69" spans="1:6" ht="14.5" customHeight="1"/>
  </sheetData>
  <mergeCells count="3">
    <mergeCell ref="B2:F2"/>
    <mergeCell ref="H2:M2"/>
    <mergeCell ref="A66:F66"/>
  </mergeCells>
  <pageMargins left="0.7" right="0.7" top="0.75" bottom="0.75" header="0.3" footer="0.3"/>
  <pageSetup orientation="portrait"/>
  <drawing r:id="rId1"/>
  <legacy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M44"/>
  <sheetViews>
    <sheetView workbookViewId="0">
      <selection activeCell="G72" sqref="G72"/>
    </sheetView>
  </sheetViews>
  <sheetFormatPr defaultColWidth="9" defaultRowHeight="14"/>
  <cols>
    <col min="1" max="1" width="9.453125" customWidth="1"/>
    <col min="2" max="2" width="27" customWidth="1"/>
    <col min="3" max="3" width="14.7265625" customWidth="1"/>
    <col min="4" max="4" width="18.81640625" customWidth="1"/>
    <col min="5" max="5" width="9.453125" customWidth="1"/>
    <col min="6" max="6" width="16.1796875" customWidth="1"/>
    <col min="7" max="7" width="12.453125" customWidth="1"/>
    <col min="8" max="8" width="15.453125" customWidth="1"/>
    <col min="9" max="9" width="11.453125" customWidth="1"/>
    <col min="10" max="10" width="18" customWidth="1"/>
    <col min="11" max="11" width="17.453125" customWidth="1"/>
    <col min="12" max="12" width="9.453125" customWidth="1"/>
    <col min="15" max="15" width="14.81640625" customWidth="1"/>
  </cols>
  <sheetData>
    <row r="1" spans="1:12">
      <c r="A1" s="384" t="s">
        <v>234</v>
      </c>
      <c r="B1" s="384"/>
      <c r="C1" s="384"/>
      <c r="D1" s="384"/>
      <c r="E1" s="384"/>
      <c r="G1" s="384" t="s">
        <v>226</v>
      </c>
      <c r="H1" s="384"/>
      <c r="I1" s="384"/>
      <c r="J1" s="384"/>
      <c r="K1" s="384"/>
      <c r="L1" s="384"/>
    </row>
    <row r="2" spans="1:12">
      <c r="A2" t="s">
        <v>141</v>
      </c>
      <c r="B2" t="s">
        <v>142</v>
      </c>
      <c r="C2" t="s">
        <v>143</v>
      </c>
      <c r="D2" t="s">
        <v>144</v>
      </c>
      <c r="E2" t="s">
        <v>145</v>
      </c>
      <c r="G2" s="61" t="s">
        <v>141</v>
      </c>
      <c r="H2" s="61" t="s">
        <v>142</v>
      </c>
      <c r="I2" s="61" t="s">
        <v>145</v>
      </c>
      <c r="J2" s="61" t="s">
        <v>146</v>
      </c>
      <c r="K2" s="61" t="s">
        <v>147</v>
      </c>
    </row>
    <row r="3" spans="1:12">
      <c r="A3" s="4" t="s">
        <v>104</v>
      </c>
      <c r="B3" s="4" t="s">
        <v>148</v>
      </c>
      <c r="C3" s="4" t="s">
        <v>149</v>
      </c>
      <c r="D3" s="4" t="s">
        <v>150</v>
      </c>
      <c r="E3" s="4" t="s">
        <v>112</v>
      </c>
      <c r="G3" s="4" t="s">
        <v>104</v>
      </c>
      <c r="H3" s="4" t="s">
        <v>228</v>
      </c>
      <c r="I3" s="4" t="s">
        <v>112</v>
      </c>
      <c r="J3" s="4" t="s">
        <v>113</v>
      </c>
      <c r="K3" s="4" t="s">
        <v>114</v>
      </c>
      <c r="L3" s="4" t="s">
        <v>112</v>
      </c>
    </row>
    <row r="4" spans="1:12">
      <c r="A4" s="101">
        <v>45046</v>
      </c>
      <c r="B4" s="102">
        <v>1.3085</v>
      </c>
      <c r="C4" s="102">
        <v>2.6200000000000001E-2</v>
      </c>
      <c r="D4" s="102">
        <v>3.9300000000000002E-2</v>
      </c>
      <c r="E4" s="103">
        <f>SUM(B4:D4)</f>
        <v>1.3740000000000001</v>
      </c>
      <c r="F4" s="104" t="s">
        <v>118</v>
      </c>
      <c r="G4" s="73">
        <v>45046</v>
      </c>
      <c r="H4" s="74">
        <v>12.05</v>
      </c>
      <c r="I4" s="65">
        <f t="shared" ref="I4:I15" si="0">H4</f>
        <v>12.05</v>
      </c>
      <c r="J4" s="74">
        <v>0.28000000000000003</v>
      </c>
      <c r="K4" s="74">
        <v>1.1000000000000001</v>
      </c>
      <c r="L4" s="93">
        <f t="shared" ref="L4:L15" si="1">I4*J4*K4</f>
        <v>3.7113999999999998</v>
      </c>
    </row>
    <row r="5" spans="1:12">
      <c r="A5" s="15">
        <v>45077</v>
      </c>
      <c r="B5" s="12">
        <v>1.3085</v>
      </c>
      <c r="C5" s="12">
        <v>2.6200000000000001E-2</v>
      </c>
      <c r="D5" s="12">
        <v>3.9300000000000002E-2</v>
      </c>
      <c r="E5" s="13">
        <f t="shared" ref="E5:E16" si="2">SUM(B5:D5)</f>
        <v>1.3740000000000001</v>
      </c>
      <c r="F5" s="104" t="s">
        <v>118</v>
      </c>
      <c r="G5" s="76">
        <v>45077</v>
      </c>
      <c r="H5" s="77">
        <v>13.37</v>
      </c>
      <c r="I5" s="68">
        <f t="shared" si="0"/>
        <v>13.37</v>
      </c>
      <c r="J5" s="77">
        <v>0.28000000000000003</v>
      </c>
      <c r="K5" s="77">
        <v>1.1000000000000001</v>
      </c>
      <c r="L5" s="94">
        <f t="shared" si="1"/>
        <v>4.1179600000000001</v>
      </c>
    </row>
    <row r="6" spans="1:12">
      <c r="A6" s="15">
        <v>45107</v>
      </c>
      <c r="B6" s="12">
        <v>1.5488</v>
      </c>
      <c r="C6" s="12">
        <v>3.1E-2</v>
      </c>
      <c r="D6" s="12">
        <v>4.65E-2</v>
      </c>
      <c r="E6" s="13">
        <f t="shared" si="2"/>
        <v>1.6263000000000001</v>
      </c>
      <c r="F6" s="104" t="s">
        <v>118</v>
      </c>
      <c r="G6" s="76">
        <v>45107</v>
      </c>
      <c r="H6" s="77">
        <v>12.93</v>
      </c>
      <c r="I6" s="68">
        <f t="shared" si="0"/>
        <v>12.93</v>
      </c>
      <c r="J6" s="77">
        <v>0.28000000000000003</v>
      </c>
      <c r="K6" s="77">
        <v>1.1000000000000001</v>
      </c>
      <c r="L6" s="94">
        <f t="shared" si="1"/>
        <v>3.98244</v>
      </c>
    </row>
    <row r="7" spans="1:12">
      <c r="A7" s="15">
        <v>45138</v>
      </c>
      <c r="B7" s="12">
        <v>1.5488</v>
      </c>
      <c r="C7" s="12">
        <v>3.1E-2</v>
      </c>
      <c r="D7" s="12">
        <v>4.65E-2</v>
      </c>
      <c r="E7" s="13">
        <f t="shared" si="2"/>
        <v>1.6263000000000001</v>
      </c>
      <c r="F7" s="104" t="s">
        <v>118</v>
      </c>
      <c r="G7" s="76">
        <v>45138</v>
      </c>
      <c r="H7" s="77">
        <v>15.37</v>
      </c>
      <c r="I7" s="68">
        <f t="shared" si="0"/>
        <v>15.37</v>
      </c>
      <c r="J7" s="77">
        <v>0.28000000000000003</v>
      </c>
      <c r="K7" s="77">
        <v>1.1000000000000001</v>
      </c>
      <c r="L7" s="94">
        <f t="shared" si="1"/>
        <v>4.7339599999999997</v>
      </c>
    </row>
    <row r="8" spans="1:12">
      <c r="A8" s="15">
        <v>45169</v>
      </c>
      <c r="B8" s="12">
        <v>1.5488</v>
      </c>
      <c r="C8" s="12">
        <v>3.1E-2</v>
      </c>
      <c r="D8" s="12">
        <v>4.65E-2</v>
      </c>
      <c r="E8" s="13">
        <f t="shared" si="2"/>
        <v>1.6263000000000001</v>
      </c>
      <c r="F8" s="104" t="s">
        <v>118</v>
      </c>
      <c r="G8" s="76">
        <v>45169</v>
      </c>
      <c r="H8" s="77">
        <v>13.43</v>
      </c>
      <c r="I8" s="68">
        <f t="shared" si="0"/>
        <v>13.43</v>
      </c>
      <c r="J8" s="77">
        <v>0.28000000000000003</v>
      </c>
      <c r="K8" s="77">
        <v>1.1000000000000001</v>
      </c>
      <c r="L8" s="94">
        <f t="shared" si="1"/>
        <v>4.1364400000000003</v>
      </c>
    </row>
    <row r="9" spans="1:12">
      <c r="A9" s="15">
        <v>45199</v>
      </c>
      <c r="B9" s="12">
        <v>1.5488</v>
      </c>
      <c r="C9" s="12">
        <v>3.1E-2</v>
      </c>
      <c r="D9" s="12">
        <v>4.65E-2</v>
      </c>
      <c r="E9" s="13">
        <f t="shared" si="2"/>
        <v>1.6263000000000001</v>
      </c>
      <c r="F9" s="104" t="s">
        <v>118</v>
      </c>
      <c r="G9" s="76">
        <v>45199</v>
      </c>
      <c r="H9" s="77">
        <v>13.18</v>
      </c>
      <c r="I9" s="68">
        <f t="shared" si="0"/>
        <v>13.18</v>
      </c>
      <c r="J9" s="77">
        <v>0.28000000000000003</v>
      </c>
      <c r="K9" s="77">
        <v>1.1000000000000001</v>
      </c>
      <c r="L9" s="94">
        <f t="shared" si="1"/>
        <v>4.0594400000000004</v>
      </c>
    </row>
    <row r="10" spans="1:12">
      <c r="A10" s="15">
        <v>45230</v>
      </c>
      <c r="B10" s="12">
        <v>1.5488</v>
      </c>
      <c r="C10" s="12">
        <v>3.1E-2</v>
      </c>
      <c r="D10" s="12">
        <v>4.65E-2</v>
      </c>
      <c r="E10" s="13">
        <f t="shared" si="2"/>
        <v>1.6263000000000001</v>
      </c>
      <c r="F10" s="104" t="s">
        <v>118</v>
      </c>
      <c r="G10" s="76">
        <v>45230</v>
      </c>
      <c r="H10" s="77">
        <v>14.97</v>
      </c>
      <c r="I10" s="68">
        <f t="shared" si="0"/>
        <v>14.97</v>
      </c>
      <c r="J10" s="77">
        <v>0.28000000000000003</v>
      </c>
      <c r="K10" s="77">
        <v>1.1000000000000001</v>
      </c>
      <c r="L10" s="94">
        <f t="shared" si="1"/>
        <v>4.61076</v>
      </c>
    </row>
    <row r="11" spans="1:12">
      <c r="A11" s="15">
        <v>45260</v>
      </c>
      <c r="B11" s="12">
        <v>1.5488</v>
      </c>
      <c r="C11" s="12">
        <v>3.1E-2</v>
      </c>
      <c r="D11" s="12">
        <v>4.65E-2</v>
      </c>
      <c r="E11" s="13">
        <f t="shared" si="2"/>
        <v>1.6263000000000001</v>
      </c>
      <c r="F11" s="104" t="s">
        <v>118</v>
      </c>
      <c r="G11" s="76">
        <v>45260</v>
      </c>
      <c r="H11" s="77">
        <v>13.92</v>
      </c>
      <c r="I11" s="68">
        <f t="shared" si="0"/>
        <v>13.92</v>
      </c>
      <c r="J11" s="77">
        <v>0.28000000000000003</v>
      </c>
      <c r="K11" s="77">
        <v>1.1000000000000001</v>
      </c>
      <c r="L11" s="94">
        <f t="shared" si="1"/>
        <v>4.2873599999999996</v>
      </c>
    </row>
    <row r="12" spans="1:12">
      <c r="A12" s="15">
        <v>45291</v>
      </c>
      <c r="B12" s="12">
        <v>1.5251999999999999</v>
      </c>
      <c r="C12" s="12">
        <v>3.0499999999999999E-2</v>
      </c>
      <c r="D12" s="12">
        <v>4.58E-2</v>
      </c>
      <c r="E12" s="13">
        <f t="shared" si="2"/>
        <v>1.6014999999999999</v>
      </c>
      <c r="F12" s="104" t="s">
        <v>118</v>
      </c>
      <c r="G12" s="76">
        <v>45291</v>
      </c>
      <c r="H12" s="77">
        <v>14.28</v>
      </c>
      <c r="I12" s="68">
        <f t="shared" si="0"/>
        <v>14.28</v>
      </c>
      <c r="J12" s="77">
        <v>0.28000000000000003</v>
      </c>
      <c r="K12" s="77">
        <v>1.1000000000000001</v>
      </c>
      <c r="L12" s="94">
        <f t="shared" si="1"/>
        <v>4.3982400000000004</v>
      </c>
    </row>
    <row r="13" spans="1:12">
      <c r="A13" s="15">
        <v>45322</v>
      </c>
      <c r="B13" s="12">
        <v>1.5251999999999999</v>
      </c>
      <c r="C13" s="12">
        <v>3.0499999999999999E-2</v>
      </c>
      <c r="D13" s="12">
        <v>4.58E-2</v>
      </c>
      <c r="E13" s="13">
        <f t="shared" si="2"/>
        <v>1.6014999999999999</v>
      </c>
      <c r="F13" s="104" t="s">
        <v>118</v>
      </c>
      <c r="G13" s="76">
        <v>45322</v>
      </c>
      <c r="H13" s="77">
        <v>14.67</v>
      </c>
      <c r="I13" s="68">
        <f t="shared" si="0"/>
        <v>14.67</v>
      </c>
      <c r="J13" s="77">
        <v>0.28000000000000003</v>
      </c>
      <c r="K13" s="77">
        <v>1.1000000000000001</v>
      </c>
      <c r="L13" s="94">
        <f t="shared" si="1"/>
        <v>4.5183600000000004</v>
      </c>
    </row>
    <row r="14" spans="1:12">
      <c r="A14" s="15">
        <v>45351</v>
      </c>
      <c r="B14" s="12">
        <v>1.5251999999999999</v>
      </c>
      <c r="C14" s="12">
        <v>3.0499999999999999E-2</v>
      </c>
      <c r="D14" s="12">
        <v>4.58E-2</v>
      </c>
      <c r="E14" s="13">
        <f t="shared" si="2"/>
        <v>1.6014999999999999</v>
      </c>
      <c r="F14" s="104" t="s">
        <v>118</v>
      </c>
      <c r="G14" s="76">
        <v>45351</v>
      </c>
      <c r="H14" s="77">
        <v>16.8</v>
      </c>
      <c r="I14" s="68">
        <f t="shared" si="0"/>
        <v>16.8</v>
      </c>
      <c r="J14" s="77">
        <v>0.28000000000000003</v>
      </c>
      <c r="K14" s="77">
        <v>1.1000000000000001</v>
      </c>
      <c r="L14" s="94">
        <f t="shared" si="1"/>
        <v>5.1744000000000003</v>
      </c>
    </row>
    <row r="15" spans="1:12">
      <c r="A15" s="22">
        <v>45382</v>
      </c>
      <c r="B15" s="23">
        <v>1.5251999999999999</v>
      </c>
      <c r="C15" s="23">
        <v>3.0499999999999999E-2</v>
      </c>
      <c r="D15" s="23">
        <v>4.58E-2</v>
      </c>
      <c r="E15" s="24">
        <f t="shared" si="2"/>
        <v>1.6014999999999999</v>
      </c>
      <c r="F15" s="105" t="s">
        <v>118</v>
      </c>
      <c r="G15" s="79">
        <v>45382</v>
      </c>
      <c r="H15" s="80">
        <v>14.37</v>
      </c>
      <c r="I15" s="72">
        <f t="shared" si="0"/>
        <v>14.37</v>
      </c>
      <c r="J15" s="80">
        <v>0.28000000000000003</v>
      </c>
      <c r="K15" s="80">
        <v>1.1000000000000001</v>
      </c>
      <c r="L15" s="95">
        <f t="shared" si="1"/>
        <v>4.4259599999999999</v>
      </c>
    </row>
    <row r="16" spans="1:12">
      <c r="A16" s="101">
        <v>45412</v>
      </c>
      <c r="B16" s="106">
        <v>1.5251999999999999</v>
      </c>
      <c r="C16" s="106">
        <v>3.0499999999999999E-2</v>
      </c>
      <c r="D16" s="106">
        <v>4.58E-2</v>
      </c>
      <c r="E16" s="103">
        <f t="shared" si="2"/>
        <v>1.6014999999999999</v>
      </c>
      <c r="F16" s="104" t="s">
        <v>118</v>
      </c>
      <c r="G16" s="73">
        <f>A16</f>
        <v>45412</v>
      </c>
      <c r="H16" s="74">
        <v>14.67</v>
      </c>
      <c r="I16" s="65">
        <f t="shared" ref="I16:I27" si="3">H16</f>
        <v>14.67</v>
      </c>
      <c r="J16" s="74">
        <v>0.28000000000000003</v>
      </c>
      <c r="K16" s="74">
        <v>1.1000000000000001</v>
      </c>
      <c r="L16" s="93">
        <f t="shared" ref="L16:L27" si="4">I16*J16*K16</f>
        <v>4.5183600000000004</v>
      </c>
    </row>
    <row r="17" spans="1:13">
      <c r="A17" s="15">
        <v>45443</v>
      </c>
      <c r="B17" s="106">
        <v>1.5251999999999999</v>
      </c>
      <c r="C17" s="106">
        <v>3.0499999999999999E-2</v>
      </c>
      <c r="D17" s="106">
        <v>4.58E-2</v>
      </c>
      <c r="E17" s="13">
        <f t="shared" ref="E17:E27" si="5">SUM(B17:D17)</f>
        <v>1.6014999999999999</v>
      </c>
      <c r="F17" s="104" t="s">
        <v>118</v>
      </c>
      <c r="G17" s="76">
        <f t="shared" ref="G17:G27" si="6">A17</f>
        <v>45443</v>
      </c>
      <c r="H17" s="77">
        <v>16.8</v>
      </c>
      <c r="I17" s="68">
        <f t="shared" si="3"/>
        <v>16.8</v>
      </c>
      <c r="J17" s="77">
        <v>0.28000000000000003</v>
      </c>
      <c r="K17" s="77">
        <v>1.1000000000000001</v>
      </c>
      <c r="L17" s="94">
        <f t="shared" si="4"/>
        <v>5.1744000000000003</v>
      </c>
    </row>
    <row r="18" spans="1:13">
      <c r="A18" s="15">
        <v>45473</v>
      </c>
      <c r="B18" s="106">
        <v>1.5251999999999999</v>
      </c>
      <c r="C18" s="106">
        <v>3.0499999999999999E-2</v>
      </c>
      <c r="D18" s="106">
        <v>4.58E-2</v>
      </c>
      <c r="E18" s="13">
        <f t="shared" si="5"/>
        <v>1.6014999999999999</v>
      </c>
      <c r="F18" s="104" t="s">
        <v>118</v>
      </c>
      <c r="G18" s="76">
        <f t="shared" si="6"/>
        <v>45473</v>
      </c>
      <c r="H18" s="77">
        <v>14.37</v>
      </c>
      <c r="I18" s="68">
        <f t="shared" si="3"/>
        <v>14.37</v>
      </c>
      <c r="J18" s="77">
        <v>0.28000000000000003</v>
      </c>
      <c r="K18" s="77">
        <v>1.1000000000000001</v>
      </c>
      <c r="L18" s="94">
        <f t="shared" si="4"/>
        <v>4.4259599999999999</v>
      </c>
    </row>
    <row r="19" spans="1:13">
      <c r="A19" s="15">
        <v>45504</v>
      </c>
      <c r="B19" s="12">
        <v>1.6001000000000001</v>
      </c>
      <c r="C19" s="12">
        <v>3.2000000000000001E-2</v>
      </c>
      <c r="D19" s="12">
        <v>4.8000000000000001E-2</v>
      </c>
      <c r="E19" s="13">
        <f t="shared" si="5"/>
        <v>1.6800999999999999</v>
      </c>
      <c r="F19" s="104" t="s">
        <v>118</v>
      </c>
      <c r="G19" s="76">
        <f t="shared" si="6"/>
        <v>45504</v>
      </c>
      <c r="H19" s="77">
        <v>13.07</v>
      </c>
      <c r="I19" s="68">
        <f t="shared" si="3"/>
        <v>13.07</v>
      </c>
      <c r="J19" s="77">
        <v>0.28000000000000003</v>
      </c>
      <c r="K19" s="77">
        <v>1.1000000000000001</v>
      </c>
      <c r="L19" s="94">
        <f t="shared" si="4"/>
        <v>4.0255599999999996</v>
      </c>
    </row>
    <row r="20" spans="1:13">
      <c r="A20" s="15">
        <v>45535</v>
      </c>
      <c r="B20" s="12">
        <v>1.6001000000000001</v>
      </c>
      <c r="C20" s="12">
        <v>3.2000000000000001E-2</v>
      </c>
      <c r="D20" s="12">
        <v>4.8000000000000001E-2</v>
      </c>
      <c r="E20" s="13">
        <f t="shared" si="5"/>
        <v>1.6800999999999999</v>
      </c>
      <c r="F20" s="104" t="s">
        <v>118</v>
      </c>
      <c r="G20" s="76">
        <f t="shared" si="6"/>
        <v>45535</v>
      </c>
      <c r="H20" s="77">
        <v>12.98</v>
      </c>
      <c r="I20" s="68">
        <f t="shared" si="3"/>
        <v>12.98</v>
      </c>
      <c r="J20" s="77">
        <v>0.28000000000000003</v>
      </c>
      <c r="K20" s="77">
        <v>1.1000000000000001</v>
      </c>
      <c r="L20" s="94">
        <f t="shared" si="4"/>
        <v>3.9978400000000001</v>
      </c>
    </row>
    <row r="21" spans="1:13">
      <c r="A21" s="15">
        <v>45565</v>
      </c>
      <c r="B21" s="12">
        <v>1.6001000000000001</v>
      </c>
      <c r="C21" s="12">
        <v>3.2000000000000001E-2</v>
      </c>
      <c r="D21" s="12">
        <v>4.8000000000000001E-2</v>
      </c>
      <c r="E21" s="13">
        <f t="shared" si="5"/>
        <v>1.6800999999999999</v>
      </c>
      <c r="F21" s="104" t="s">
        <v>118</v>
      </c>
      <c r="G21" s="76">
        <f t="shared" si="6"/>
        <v>45565</v>
      </c>
      <c r="H21" s="77">
        <v>13.11</v>
      </c>
      <c r="I21" s="68">
        <f t="shared" si="3"/>
        <v>13.11</v>
      </c>
      <c r="J21" s="77">
        <v>0.28000000000000003</v>
      </c>
      <c r="K21" s="77">
        <v>1.1000000000000001</v>
      </c>
      <c r="L21" s="94">
        <f t="shared" si="4"/>
        <v>4.0378800000000004</v>
      </c>
    </row>
    <row r="22" spans="1:13">
      <c r="A22" s="15">
        <v>45596</v>
      </c>
      <c r="B22" s="12">
        <v>1.6485000000000001</v>
      </c>
      <c r="C22" s="12">
        <v>3.3000000000000002E-2</v>
      </c>
      <c r="D22" s="12">
        <v>4.9500000000000002E-2</v>
      </c>
      <c r="E22" s="13">
        <f t="shared" si="5"/>
        <v>1.7310000000000001</v>
      </c>
      <c r="F22" s="104" t="s">
        <v>118</v>
      </c>
      <c r="G22" s="76">
        <f t="shared" si="6"/>
        <v>45596</v>
      </c>
      <c r="H22" s="77">
        <v>11.9</v>
      </c>
      <c r="I22" s="68">
        <f t="shared" si="3"/>
        <v>11.9</v>
      </c>
      <c r="J22" s="77">
        <v>0.28000000000000003</v>
      </c>
      <c r="K22" s="77">
        <v>1.1000000000000001</v>
      </c>
      <c r="L22" s="94">
        <f t="shared" si="4"/>
        <v>3.6652</v>
      </c>
    </row>
    <row r="23" spans="1:13">
      <c r="A23" s="15">
        <v>45626</v>
      </c>
      <c r="B23" s="12">
        <v>1.6485000000000001</v>
      </c>
      <c r="C23" s="12">
        <v>3.3000000000000002E-2</v>
      </c>
      <c r="D23" s="12">
        <v>4.9500000000000002E-2</v>
      </c>
      <c r="E23" s="13">
        <f t="shared" si="5"/>
        <v>1.7310000000000001</v>
      </c>
      <c r="F23" s="104" t="s">
        <v>118</v>
      </c>
      <c r="G23" s="76">
        <f t="shared" si="6"/>
        <v>45626</v>
      </c>
      <c r="H23" s="77">
        <v>11.53</v>
      </c>
      <c r="I23" s="68">
        <f t="shared" si="3"/>
        <v>11.53</v>
      </c>
      <c r="J23" s="77">
        <v>0.28000000000000003</v>
      </c>
      <c r="K23" s="77">
        <v>1.1000000000000001</v>
      </c>
      <c r="L23" s="94">
        <f t="shared" si="4"/>
        <v>3.55124</v>
      </c>
    </row>
    <row r="24" spans="1:13">
      <c r="A24" s="15">
        <v>45657</v>
      </c>
      <c r="B24" s="12">
        <v>1.6485000000000001</v>
      </c>
      <c r="C24" s="12">
        <v>3.3000000000000002E-2</v>
      </c>
      <c r="D24" s="12">
        <v>4.9500000000000002E-2</v>
      </c>
      <c r="E24" s="13">
        <f t="shared" si="5"/>
        <v>1.7310000000000001</v>
      </c>
      <c r="F24" s="104" t="s">
        <v>118</v>
      </c>
      <c r="G24" s="76">
        <f t="shared" si="6"/>
        <v>45657</v>
      </c>
      <c r="H24" s="77">
        <v>15.85</v>
      </c>
      <c r="I24" s="68">
        <f t="shared" si="3"/>
        <v>15.85</v>
      </c>
      <c r="J24" s="77">
        <v>0.28000000000000003</v>
      </c>
      <c r="K24" s="77">
        <v>1.1000000000000001</v>
      </c>
      <c r="L24" s="94">
        <f t="shared" si="4"/>
        <v>4.8818000000000001</v>
      </c>
    </row>
    <row r="25" spans="1:13">
      <c r="A25" s="15">
        <v>45688</v>
      </c>
      <c r="B25" s="12">
        <v>1.6485000000000001</v>
      </c>
      <c r="C25" s="12">
        <v>3.3000000000000002E-2</v>
      </c>
      <c r="D25" s="12">
        <v>4.9500000000000002E-2</v>
      </c>
      <c r="E25" s="13">
        <f t="shared" si="5"/>
        <v>1.7310000000000001</v>
      </c>
      <c r="F25" s="104" t="s">
        <v>118</v>
      </c>
      <c r="G25" s="76">
        <f t="shared" si="6"/>
        <v>45688</v>
      </c>
      <c r="H25" s="77">
        <v>16.600000000000001</v>
      </c>
      <c r="I25" s="68">
        <f t="shared" si="3"/>
        <v>16.600000000000001</v>
      </c>
      <c r="J25" s="77">
        <v>0.28000000000000003</v>
      </c>
      <c r="K25" s="77">
        <v>1.1000000000000001</v>
      </c>
      <c r="L25" s="94">
        <f t="shared" si="4"/>
        <v>5.1128</v>
      </c>
    </row>
    <row r="26" spans="1:13">
      <c r="A26" s="15">
        <v>45716</v>
      </c>
      <c r="B26" s="12">
        <v>1.6485000000000001</v>
      </c>
      <c r="C26" s="12">
        <v>3.3000000000000002E-2</v>
      </c>
      <c r="D26" s="12">
        <v>4.9500000000000002E-2</v>
      </c>
      <c r="E26" s="13">
        <f t="shared" si="5"/>
        <v>1.7310000000000001</v>
      </c>
      <c r="F26" s="104" t="s">
        <v>118</v>
      </c>
      <c r="G26" s="76">
        <f t="shared" si="6"/>
        <v>45716</v>
      </c>
      <c r="H26" s="77">
        <v>12.98</v>
      </c>
      <c r="I26" s="68">
        <f t="shared" si="3"/>
        <v>12.98</v>
      </c>
      <c r="J26" s="77">
        <v>0.28000000000000003</v>
      </c>
      <c r="K26" s="77">
        <v>1.1000000000000001</v>
      </c>
      <c r="L26" s="94">
        <f t="shared" si="4"/>
        <v>3.9978400000000001</v>
      </c>
    </row>
    <row r="27" spans="1:13">
      <c r="A27" s="22">
        <v>45747</v>
      </c>
      <c r="B27" s="23">
        <v>1.6485000000000001</v>
      </c>
      <c r="C27" s="23">
        <v>3.3000000000000002E-2</v>
      </c>
      <c r="D27" s="23">
        <v>4.9500000000000002E-2</v>
      </c>
      <c r="E27" s="24">
        <f t="shared" si="5"/>
        <v>1.7310000000000001</v>
      </c>
      <c r="F27" s="105" t="s">
        <v>118</v>
      </c>
      <c r="G27" s="79">
        <f t="shared" si="6"/>
        <v>45747</v>
      </c>
      <c r="H27" s="80">
        <v>15.14</v>
      </c>
      <c r="I27" s="72">
        <f t="shared" si="3"/>
        <v>15.14</v>
      </c>
      <c r="J27" s="80">
        <v>0.28000000000000003</v>
      </c>
      <c r="K27" s="80">
        <v>1.1000000000000001</v>
      </c>
      <c r="L27" s="95">
        <f t="shared" si="4"/>
        <v>4.6631200000000002</v>
      </c>
    </row>
    <row r="28" spans="1:13">
      <c r="A28" s="25"/>
      <c r="B28" s="26"/>
      <c r="C28" s="26"/>
      <c r="D28" s="26"/>
      <c r="E28" s="27"/>
      <c r="J28" s="43"/>
      <c r="K28" s="43"/>
    </row>
    <row r="29" spans="1:13">
      <c r="A29" s="25"/>
      <c r="B29" s="26" t="s">
        <v>235</v>
      </c>
      <c r="C29" s="26"/>
      <c r="D29" s="26"/>
      <c r="E29" s="28">
        <f>AVERAGE(E4:E15)</f>
        <v>1.57598333333333</v>
      </c>
      <c r="H29" s="26" t="s">
        <v>235</v>
      </c>
      <c r="L29" s="28">
        <f>AVERAGE(L4:L15)</f>
        <v>4.3463933333333298</v>
      </c>
    </row>
    <row r="30" spans="1:13">
      <c r="B30" s="26" t="s">
        <v>236</v>
      </c>
      <c r="C30" s="107"/>
      <c r="D30" s="107"/>
      <c r="E30" s="28">
        <f>AVERAGE(E16:E27)</f>
        <v>1.6859</v>
      </c>
      <c r="F30" s="84">
        <f>(E30-E29)/E29</f>
        <v>6.9744815406254296E-2</v>
      </c>
      <c r="H30" s="26" t="s">
        <v>236</v>
      </c>
      <c r="L30" s="28">
        <f>AVERAGE(L16:L27)</f>
        <v>4.3376666666666699</v>
      </c>
      <c r="M30" s="84">
        <f>(L30-L29)/L29</f>
        <v>-2.0077949687020901E-3</v>
      </c>
    </row>
    <row r="32" spans="1:13">
      <c r="B32" s="108" t="s">
        <v>237</v>
      </c>
      <c r="C32" s="108"/>
      <c r="D32" s="108"/>
      <c r="E32" s="108"/>
      <c r="F32" s="108"/>
      <c r="G32" s="108"/>
      <c r="H32" s="108"/>
      <c r="I32" s="108"/>
      <c r="J32" s="108"/>
      <c r="K32" s="108"/>
      <c r="L32" s="108"/>
    </row>
    <row r="33" spans="1:11">
      <c r="F33" s="109">
        <f>E29*95%</f>
        <v>1.4971841666666701</v>
      </c>
    </row>
    <row r="34" spans="1:11">
      <c r="C34" s="110" t="s">
        <v>238</v>
      </c>
      <c r="D34" s="110" t="s">
        <v>239</v>
      </c>
    </row>
    <row r="35" spans="1:11">
      <c r="A35" s="30"/>
      <c r="B35" s="29" t="s">
        <v>131</v>
      </c>
      <c r="C35" s="29">
        <v>15.4526</v>
      </c>
      <c r="D35" s="29">
        <f>C35</f>
        <v>15.4526</v>
      </c>
      <c r="E35" s="29" t="s">
        <v>240</v>
      </c>
      <c r="F35" s="29"/>
    </row>
    <row r="36" spans="1:11">
      <c r="A36" s="29"/>
      <c r="B36" s="29" t="s">
        <v>241</v>
      </c>
      <c r="C36" s="111">
        <f>E30</f>
        <v>1.6859</v>
      </c>
      <c r="D36" s="111">
        <f>L30</f>
        <v>4.3376666666666699</v>
      </c>
      <c r="E36" s="29"/>
      <c r="F36" s="112"/>
    </row>
    <row r="37" spans="1:11">
      <c r="A37" s="29"/>
      <c r="B37" s="29" t="s">
        <v>137</v>
      </c>
      <c r="C37" s="113">
        <v>0.05</v>
      </c>
      <c r="D37" s="113">
        <f>C37</f>
        <v>0.05</v>
      </c>
      <c r="E37" s="29"/>
      <c r="F37" s="29"/>
    </row>
    <row r="38" spans="1:11">
      <c r="A38" s="114">
        <f>C38/C35</f>
        <v>0.103646311947504</v>
      </c>
      <c r="B38" s="115" t="s">
        <v>182</v>
      </c>
      <c r="C38" s="36">
        <f>C36*(1-C37)</f>
        <v>1.6016049999999999</v>
      </c>
      <c r="D38" s="36">
        <f>D36*(1-D37)</f>
        <v>4.1207833333333301</v>
      </c>
      <c r="E38" s="88"/>
      <c r="F38" s="29"/>
    </row>
    <row r="39" spans="1:11">
      <c r="A39" s="29"/>
      <c r="B39" s="29"/>
      <c r="C39" s="29"/>
      <c r="D39" s="29"/>
      <c r="E39" s="29"/>
      <c r="F39" s="29"/>
    </row>
    <row r="41" spans="1:11" ht="14.5">
      <c r="A41" s="29"/>
      <c r="B41" s="38" t="s">
        <v>124</v>
      </c>
      <c r="C41" s="39">
        <v>44274</v>
      </c>
    </row>
    <row r="44" spans="1:11">
      <c r="A44" s="40" t="s">
        <v>139</v>
      </c>
      <c r="B44" s="40"/>
      <c r="C44" s="40"/>
      <c r="D44" s="40"/>
      <c r="E44" s="40"/>
      <c r="F44" s="40"/>
      <c r="G44" s="40"/>
      <c r="H44" s="40"/>
      <c r="I44" s="40"/>
      <c r="J44" s="40"/>
      <c r="K44" s="40"/>
    </row>
  </sheetData>
  <mergeCells count="2">
    <mergeCell ref="A1:E1"/>
    <mergeCell ref="G1:L1"/>
  </mergeCells>
  <pageMargins left="0.7" right="0.7" top="0.75" bottom="0.75" header="0.3" footer="0.3"/>
  <pageSetup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T81"/>
  <sheetViews>
    <sheetView topLeftCell="A48" workbookViewId="0">
      <selection activeCell="D61" sqref="D61"/>
    </sheetView>
  </sheetViews>
  <sheetFormatPr defaultColWidth="9" defaultRowHeight="14"/>
  <cols>
    <col min="1" max="1" width="9.453125" customWidth="1"/>
    <col min="2" max="2" width="14.453125" customWidth="1"/>
    <col min="3" max="3" width="24.453125" customWidth="1"/>
    <col min="4" max="4" width="17.453125" customWidth="1"/>
    <col min="5" max="5" width="9.08984375" customWidth="1"/>
    <col min="6" max="6" width="9.453125" customWidth="1"/>
    <col min="7" max="7" width="13.81640625" customWidth="1"/>
    <col min="8" max="8" width="8.81640625" customWidth="1"/>
    <col min="9" max="9" width="18" customWidth="1"/>
    <col min="10" max="10" width="17.453125" customWidth="1"/>
    <col min="14" max="14" width="15" customWidth="1"/>
  </cols>
  <sheetData>
    <row r="1" spans="1:19">
      <c r="A1" s="397" t="s">
        <v>225</v>
      </c>
      <c r="B1" s="398"/>
      <c r="C1" s="398"/>
      <c r="D1" s="398"/>
      <c r="F1" s="384" t="s">
        <v>226</v>
      </c>
      <c r="G1" s="384"/>
      <c r="H1" s="384"/>
      <c r="I1" s="384"/>
      <c r="J1" s="384"/>
      <c r="K1" s="384"/>
    </row>
    <row r="2" spans="1:19">
      <c r="A2" s="61" t="s">
        <v>141</v>
      </c>
      <c r="B2" s="61" t="s">
        <v>145</v>
      </c>
      <c r="C2" s="61" t="s">
        <v>146</v>
      </c>
      <c r="D2" s="61" t="s">
        <v>147</v>
      </c>
      <c r="F2" s="61" t="s">
        <v>141</v>
      </c>
      <c r="G2" s="61" t="s">
        <v>142</v>
      </c>
      <c r="H2" s="61" t="s">
        <v>145</v>
      </c>
      <c r="I2" s="61" t="s">
        <v>146</v>
      </c>
      <c r="J2" s="61" t="s">
        <v>147</v>
      </c>
    </row>
    <row r="3" spans="1:19">
      <c r="A3" s="4" t="s">
        <v>104</v>
      </c>
      <c r="B3" s="4" t="s">
        <v>112</v>
      </c>
      <c r="C3" s="4" t="s">
        <v>113</v>
      </c>
      <c r="D3" s="4" t="s">
        <v>114</v>
      </c>
      <c r="F3" s="4" t="s">
        <v>104</v>
      </c>
      <c r="G3" s="4" t="s">
        <v>228</v>
      </c>
      <c r="H3" s="4" t="s">
        <v>112</v>
      </c>
      <c r="I3" s="4" t="s">
        <v>113</v>
      </c>
      <c r="J3" s="4" t="s">
        <v>114</v>
      </c>
      <c r="K3" s="4" t="s">
        <v>112</v>
      </c>
    </row>
    <row r="4" spans="1:19">
      <c r="A4" s="62">
        <v>43861</v>
      </c>
      <c r="B4" s="74">
        <v>67.5</v>
      </c>
      <c r="C4" s="74">
        <v>0</v>
      </c>
      <c r="D4" s="75">
        <v>0</v>
      </c>
      <c r="E4" s="43"/>
      <c r="F4" s="62">
        <v>43861</v>
      </c>
      <c r="G4" s="96"/>
      <c r="H4" s="65">
        <f t="shared" ref="H4:H40" si="0">G4</f>
        <v>0</v>
      </c>
      <c r="I4" s="74">
        <v>0</v>
      </c>
      <c r="J4" s="74">
        <v>0</v>
      </c>
      <c r="K4" s="93">
        <f t="shared" ref="K4:K28" si="1">H4*I4*J4</f>
        <v>0</v>
      </c>
      <c r="M4" s="399" t="s">
        <v>242</v>
      </c>
      <c r="N4" s="400"/>
      <c r="O4" s="400"/>
      <c r="P4" s="400"/>
      <c r="Q4" s="400"/>
      <c r="R4" s="400"/>
      <c r="S4" s="401"/>
    </row>
    <row r="5" spans="1:19">
      <c r="A5" s="66">
        <v>43889</v>
      </c>
      <c r="B5" s="77">
        <v>62</v>
      </c>
      <c r="C5" s="77">
        <v>0</v>
      </c>
      <c r="D5" s="78">
        <v>0</v>
      </c>
      <c r="E5" s="43"/>
      <c r="F5" s="66">
        <v>43889</v>
      </c>
      <c r="H5" s="68">
        <f t="shared" si="0"/>
        <v>0</v>
      </c>
      <c r="I5" s="77">
        <v>0</v>
      </c>
      <c r="J5" s="77">
        <v>0</v>
      </c>
      <c r="K5" s="94">
        <f t="shared" si="1"/>
        <v>0</v>
      </c>
      <c r="M5" s="402"/>
      <c r="N5" s="403"/>
      <c r="O5" s="403"/>
      <c r="P5" s="403"/>
      <c r="Q5" s="403"/>
      <c r="R5" s="403"/>
      <c r="S5" s="404"/>
    </row>
    <row r="6" spans="1:19">
      <c r="A6" s="66">
        <v>43921</v>
      </c>
      <c r="B6" s="77">
        <v>61.7</v>
      </c>
      <c r="C6" s="77">
        <v>0</v>
      </c>
      <c r="D6" s="78">
        <v>0</v>
      </c>
      <c r="E6" s="43"/>
      <c r="F6" s="66">
        <v>43921</v>
      </c>
      <c r="H6" s="68">
        <f t="shared" si="0"/>
        <v>0</v>
      </c>
      <c r="I6" s="77">
        <v>0</v>
      </c>
      <c r="J6" s="77">
        <v>0</v>
      </c>
      <c r="K6" s="94">
        <f t="shared" si="1"/>
        <v>0</v>
      </c>
    </row>
    <row r="7" spans="1:19">
      <c r="A7" s="66">
        <v>43951</v>
      </c>
      <c r="B7" s="77">
        <v>67.5</v>
      </c>
      <c r="C7" s="77">
        <v>0</v>
      </c>
      <c r="D7" s="78">
        <v>0</v>
      </c>
      <c r="E7" s="43"/>
      <c r="F7" s="66">
        <v>43951</v>
      </c>
      <c r="H7" s="68">
        <f t="shared" si="0"/>
        <v>0</v>
      </c>
      <c r="I7" s="77">
        <v>0</v>
      </c>
      <c r="J7" s="77">
        <v>0</v>
      </c>
      <c r="K7" s="94">
        <f t="shared" si="1"/>
        <v>0</v>
      </c>
    </row>
    <row r="8" spans="1:19">
      <c r="A8" s="66">
        <v>43982</v>
      </c>
      <c r="B8" s="77">
        <v>66.8</v>
      </c>
      <c r="C8" s="77">
        <v>0</v>
      </c>
      <c r="D8" s="78">
        <v>0</v>
      </c>
      <c r="E8" s="43"/>
      <c r="F8" s="66">
        <v>43982</v>
      </c>
      <c r="H8" s="68">
        <f t="shared" si="0"/>
        <v>0</v>
      </c>
      <c r="I8" s="77">
        <v>0</v>
      </c>
      <c r="J8" s="77">
        <v>0</v>
      </c>
      <c r="K8" s="94">
        <f t="shared" si="1"/>
        <v>0</v>
      </c>
    </row>
    <row r="9" spans="1:19">
      <c r="A9" s="66">
        <v>44012</v>
      </c>
      <c r="B9" s="77">
        <v>60</v>
      </c>
      <c r="C9" s="77">
        <v>0</v>
      </c>
      <c r="D9" s="78">
        <v>0</v>
      </c>
      <c r="E9" s="43"/>
      <c r="F9" s="66">
        <v>44012</v>
      </c>
      <c r="H9" s="68">
        <f t="shared" si="0"/>
        <v>0</v>
      </c>
      <c r="I9" s="77">
        <v>0</v>
      </c>
      <c r="J9" s="77">
        <v>0</v>
      </c>
      <c r="K9" s="94">
        <f t="shared" si="1"/>
        <v>0</v>
      </c>
    </row>
    <row r="10" spans="1:19">
      <c r="A10" s="66">
        <v>44043</v>
      </c>
      <c r="B10" s="77">
        <v>64.900000000000006</v>
      </c>
      <c r="C10" s="77">
        <v>0</v>
      </c>
      <c r="D10" s="78">
        <v>0</v>
      </c>
      <c r="E10" s="43"/>
      <c r="F10" s="66">
        <v>44043</v>
      </c>
      <c r="H10" s="68">
        <f t="shared" si="0"/>
        <v>0</v>
      </c>
      <c r="I10" s="77">
        <v>0</v>
      </c>
      <c r="J10" s="77">
        <v>0</v>
      </c>
      <c r="K10" s="94">
        <f t="shared" si="1"/>
        <v>0</v>
      </c>
    </row>
    <row r="11" spans="1:19">
      <c r="A11" s="66">
        <v>44074</v>
      </c>
      <c r="B11" s="77">
        <v>68.900000000000006</v>
      </c>
      <c r="C11" s="77">
        <v>0</v>
      </c>
      <c r="D11" s="78">
        <v>0</v>
      </c>
      <c r="E11" s="43"/>
      <c r="F11" s="66">
        <v>44074</v>
      </c>
      <c r="H11" s="68">
        <f t="shared" si="0"/>
        <v>0</v>
      </c>
      <c r="I11" s="77">
        <v>0</v>
      </c>
      <c r="J11" s="77">
        <v>0</v>
      </c>
      <c r="K11" s="94">
        <f t="shared" si="1"/>
        <v>0</v>
      </c>
    </row>
    <row r="12" spans="1:19">
      <c r="A12" s="66">
        <v>44104</v>
      </c>
      <c r="B12" s="77">
        <v>69.099999999999994</v>
      </c>
      <c r="C12" s="77">
        <v>0</v>
      </c>
      <c r="D12" s="78">
        <v>0</v>
      </c>
      <c r="E12" s="43"/>
      <c r="F12" s="66">
        <v>44104</v>
      </c>
      <c r="H12" s="68">
        <f t="shared" si="0"/>
        <v>0</v>
      </c>
      <c r="I12" s="77">
        <v>0</v>
      </c>
      <c r="J12" s="77">
        <v>0</v>
      </c>
      <c r="K12" s="94">
        <f t="shared" si="1"/>
        <v>0</v>
      </c>
    </row>
    <row r="13" spans="1:19">
      <c r="A13" s="66">
        <v>44135</v>
      </c>
      <c r="B13" s="77">
        <v>66.099999999999994</v>
      </c>
      <c r="C13" s="77">
        <v>0</v>
      </c>
      <c r="D13" s="78">
        <v>0</v>
      </c>
      <c r="E13" s="43"/>
      <c r="F13" s="66">
        <v>44135</v>
      </c>
      <c r="H13" s="68">
        <f t="shared" si="0"/>
        <v>0</v>
      </c>
      <c r="I13" s="77">
        <v>0</v>
      </c>
      <c r="J13" s="77">
        <v>0</v>
      </c>
      <c r="K13" s="94">
        <f t="shared" si="1"/>
        <v>0</v>
      </c>
    </row>
    <row r="14" spans="1:19">
      <c r="A14" s="66">
        <v>44165</v>
      </c>
      <c r="B14" s="77">
        <v>62.9</v>
      </c>
      <c r="C14" s="77">
        <v>0</v>
      </c>
      <c r="D14" s="78">
        <v>0</v>
      </c>
      <c r="E14" s="43"/>
      <c r="F14" s="66">
        <v>44165</v>
      </c>
      <c r="H14" s="68">
        <f t="shared" si="0"/>
        <v>0</v>
      </c>
      <c r="I14" s="77">
        <v>0</v>
      </c>
      <c r="J14" s="77">
        <v>0</v>
      </c>
      <c r="K14" s="94">
        <f t="shared" si="1"/>
        <v>0</v>
      </c>
    </row>
    <row r="15" spans="1:19">
      <c r="A15" s="66">
        <v>44196</v>
      </c>
      <c r="B15" s="77">
        <v>65.400000000000006</v>
      </c>
      <c r="C15" s="77">
        <v>0</v>
      </c>
      <c r="D15" s="78">
        <v>0</v>
      </c>
      <c r="E15" s="43"/>
      <c r="F15" s="66">
        <v>44196</v>
      </c>
      <c r="H15" s="68">
        <f t="shared" si="0"/>
        <v>0</v>
      </c>
      <c r="I15" s="77">
        <v>0</v>
      </c>
      <c r="J15" s="77">
        <v>0</v>
      </c>
      <c r="K15" s="94">
        <f t="shared" si="1"/>
        <v>0</v>
      </c>
    </row>
    <row r="16" spans="1:19">
      <c r="A16" s="66">
        <v>44227</v>
      </c>
      <c r="B16" s="77">
        <v>68.5</v>
      </c>
      <c r="C16" s="77">
        <v>0</v>
      </c>
      <c r="D16" s="78">
        <v>0</v>
      </c>
      <c r="E16" s="43"/>
      <c r="F16" s="66">
        <v>44227</v>
      </c>
      <c r="H16" s="68">
        <f t="shared" si="0"/>
        <v>0</v>
      </c>
      <c r="I16" s="77">
        <v>0</v>
      </c>
      <c r="J16" s="77">
        <v>0</v>
      </c>
      <c r="K16" s="94">
        <f t="shared" si="1"/>
        <v>0</v>
      </c>
    </row>
    <row r="17" spans="1:11">
      <c r="A17" s="66">
        <v>44255</v>
      </c>
      <c r="B17" s="77">
        <v>61.6</v>
      </c>
      <c r="C17" s="77">
        <v>0</v>
      </c>
      <c r="D17" s="78">
        <v>0</v>
      </c>
      <c r="E17" s="43"/>
      <c r="F17" s="66">
        <v>44255</v>
      </c>
      <c r="H17" s="68">
        <f t="shared" si="0"/>
        <v>0</v>
      </c>
      <c r="I17" s="77">
        <v>0</v>
      </c>
      <c r="J17" s="77">
        <v>0</v>
      </c>
      <c r="K17" s="94">
        <f t="shared" si="1"/>
        <v>0</v>
      </c>
    </row>
    <row r="18" spans="1:11">
      <c r="A18" s="66">
        <v>44286</v>
      </c>
      <c r="B18" s="77">
        <v>81.099999999999994</v>
      </c>
      <c r="C18" s="77">
        <v>0</v>
      </c>
      <c r="D18" s="78">
        <v>0</v>
      </c>
      <c r="E18" s="43"/>
      <c r="F18" s="66">
        <v>44286</v>
      </c>
      <c r="H18" s="68">
        <f t="shared" si="0"/>
        <v>0</v>
      </c>
      <c r="I18" s="77">
        <v>0</v>
      </c>
      <c r="J18" s="77">
        <v>0</v>
      </c>
      <c r="K18" s="94">
        <f t="shared" si="1"/>
        <v>0</v>
      </c>
    </row>
    <row r="19" spans="1:11">
      <c r="A19" s="66">
        <v>44316</v>
      </c>
      <c r="B19" s="77">
        <v>77.12</v>
      </c>
      <c r="C19" s="77">
        <v>0</v>
      </c>
      <c r="D19" s="78">
        <v>0</v>
      </c>
      <c r="E19" s="43"/>
      <c r="F19" s="66">
        <v>44316</v>
      </c>
      <c r="H19" s="68">
        <f t="shared" si="0"/>
        <v>0</v>
      </c>
      <c r="I19" s="77">
        <v>0</v>
      </c>
      <c r="J19" s="77">
        <v>0</v>
      </c>
      <c r="K19" s="94">
        <f t="shared" si="1"/>
        <v>0</v>
      </c>
    </row>
    <row r="20" spans="1:11">
      <c r="A20" s="66">
        <v>44347</v>
      </c>
      <c r="B20" s="77">
        <v>68.8</v>
      </c>
      <c r="C20" s="77">
        <v>0</v>
      </c>
      <c r="D20" s="78">
        <v>0</v>
      </c>
      <c r="E20" s="43"/>
      <c r="F20" s="66">
        <v>44347</v>
      </c>
      <c r="H20" s="68">
        <f t="shared" si="0"/>
        <v>0</v>
      </c>
      <c r="I20" s="77">
        <v>0</v>
      </c>
      <c r="J20" s="77">
        <v>0</v>
      </c>
      <c r="K20" s="94">
        <f t="shared" si="1"/>
        <v>0</v>
      </c>
    </row>
    <row r="21" spans="1:11">
      <c r="A21" s="66">
        <v>44377</v>
      </c>
      <c r="B21" s="77">
        <v>74.930000000000007</v>
      </c>
      <c r="C21" s="77">
        <v>0</v>
      </c>
      <c r="D21" s="78">
        <v>0</v>
      </c>
      <c r="E21" s="43"/>
      <c r="F21" s="66">
        <v>44377</v>
      </c>
      <c r="H21" s="68">
        <f t="shared" si="0"/>
        <v>0</v>
      </c>
      <c r="I21" s="77">
        <v>0</v>
      </c>
      <c r="J21" s="77">
        <v>0</v>
      </c>
      <c r="K21" s="94">
        <f t="shared" si="1"/>
        <v>0</v>
      </c>
    </row>
    <row r="22" spans="1:11">
      <c r="A22" s="66">
        <v>44408</v>
      </c>
      <c r="B22" s="77">
        <v>83.2</v>
      </c>
      <c r="C22" s="77">
        <v>0</v>
      </c>
      <c r="D22" s="78">
        <v>0</v>
      </c>
      <c r="E22" s="43"/>
      <c r="F22" s="66">
        <v>44408</v>
      </c>
      <c r="H22" s="68">
        <f t="shared" si="0"/>
        <v>0</v>
      </c>
      <c r="I22" s="77">
        <v>0</v>
      </c>
      <c r="J22" s="77">
        <v>0</v>
      </c>
      <c r="K22" s="94">
        <f t="shared" si="1"/>
        <v>0</v>
      </c>
    </row>
    <row r="23" spans="1:11">
      <c r="A23" s="66">
        <v>44439</v>
      </c>
      <c r="B23" s="77">
        <v>77.41</v>
      </c>
      <c r="C23" s="77">
        <v>0</v>
      </c>
      <c r="D23" s="78">
        <v>0</v>
      </c>
      <c r="E23" s="43"/>
      <c r="F23" s="66">
        <v>44439</v>
      </c>
      <c r="H23" s="68">
        <f t="shared" si="0"/>
        <v>0</v>
      </c>
      <c r="I23" s="77">
        <v>0</v>
      </c>
      <c r="J23" s="77">
        <v>0</v>
      </c>
      <c r="K23" s="94">
        <f t="shared" si="1"/>
        <v>0</v>
      </c>
    </row>
    <row r="24" spans="1:11">
      <c r="A24" s="66">
        <v>44469</v>
      </c>
      <c r="B24" s="77">
        <v>79.430000000000007</v>
      </c>
      <c r="C24" s="77">
        <v>0</v>
      </c>
      <c r="D24" s="78">
        <v>0</v>
      </c>
      <c r="E24" s="43"/>
      <c r="F24" s="66">
        <v>44469</v>
      </c>
      <c r="H24" s="68">
        <f t="shared" si="0"/>
        <v>0</v>
      </c>
      <c r="I24" s="77">
        <v>0</v>
      </c>
      <c r="J24" s="77">
        <v>0</v>
      </c>
      <c r="K24" s="94">
        <f t="shared" si="1"/>
        <v>0</v>
      </c>
    </row>
    <row r="25" spans="1:11">
      <c r="A25" s="66">
        <v>44500</v>
      </c>
      <c r="B25" s="77">
        <v>79.75</v>
      </c>
      <c r="C25" s="77">
        <v>0</v>
      </c>
      <c r="D25" s="78">
        <v>0</v>
      </c>
      <c r="E25" s="43"/>
      <c r="F25" s="66">
        <v>44500</v>
      </c>
      <c r="H25" s="68">
        <f t="shared" si="0"/>
        <v>0</v>
      </c>
      <c r="I25" s="77">
        <v>0</v>
      </c>
      <c r="J25" s="77">
        <v>0</v>
      </c>
      <c r="K25" s="94">
        <f t="shared" si="1"/>
        <v>0</v>
      </c>
    </row>
    <row r="26" spans="1:11">
      <c r="A26" s="66">
        <v>44530</v>
      </c>
      <c r="B26" s="77">
        <v>83.2</v>
      </c>
      <c r="C26" s="77">
        <v>0</v>
      </c>
      <c r="D26" s="78">
        <v>0</v>
      </c>
      <c r="E26" s="43"/>
      <c r="F26" s="66">
        <v>44530</v>
      </c>
      <c r="H26" s="68">
        <f t="shared" si="0"/>
        <v>0</v>
      </c>
      <c r="I26" s="77">
        <v>0</v>
      </c>
      <c r="J26" s="77">
        <v>0</v>
      </c>
      <c r="K26" s="94">
        <f t="shared" si="1"/>
        <v>0</v>
      </c>
    </row>
    <row r="27" spans="1:11">
      <c r="A27" s="66">
        <v>44561</v>
      </c>
      <c r="B27" s="77">
        <v>89.14</v>
      </c>
      <c r="C27" s="77">
        <v>0</v>
      </c>
      <c r="D27" s="78">
        <v>0</v>
      </c>
      <c r="E27" s="43"/>
      <c r="F27" s="66">
        <v>44561</v>
      </c>
      <c r="H27" s="68">
        <f t="shared" si="0"/>
        <v>0</v>
      </c>
      <c r="I27" s="77">
        <v>0</v>
      </c>
      <c r="J27" s="77">
        <v>0</v>
      </c>
      <c r="K27" s="94">
        <f t="shared" si="1"/>
        <v>0</v>
      </c>
    </row>
    <row r="28" spans="1:11">
      <c r="A28" s="69">
        <v>44592</v>
      </c>
      <c r="B28" s="80">
        <v>241.24</v>
      </c>
      <c r="C28" s="80">
        <v>0</v>
      </c>
      <c r="D28" s="81">
        <v>0</v>
      </c>
      <c r="E28" s="43"/>
      <c r="F28" s="69">
        <v>44592</v>
      </c>
      <c r="G28" s="97"/>
      <c r="H28" s="72">
        <f t="shared" si="0"/>
        <v>0</v>
      </c>
      <c r="I28" s="80">
        <v>0</v>
      </c>
      <c r="J28" s="80">
        <v>0</v>
      </c>
      <c r="K28" s="95">
        <f t="shared" si="1"/>
        <v>0</v>
      </c>
    </row>
    <row r="29" spans="1:11">
      <c r="A29" s="62">
        <v>45016</v>
      </c>
      <c r="B29" s="74"/>
      <c r="C29" s="74">
        <v>0</v>
      </c>
      <c r="D29" s="75">
        <v>0</v>
      </c>
      <c r="E29" s="43"/>
      <c r="F29" s="62">
        <v>45016</v>
      </c>
      <c r="G29" s="74">
        <v>142.563554632674</v>
      </c>
      <c r="H29" s="65">
        <f t="shared" si="0"/>
        <v>142.563554632674</v>
      </c>
      <c r="I29" s="74"/>
      <c r="J29" s="74">
        <v>1.1000000000000001</v>
      </c>
      <c r="K29" s="93">
        <f>H29*J29</f>
        <v>156.81991009594199</v>
      </c>
    </row>
    <row r="30" spans="1:11">
      <c r="A30" s="66">
        <v>45046</v>
      </c>
      <c r="B30" s="77"/>
      <c r="C30" s="77">
        <v>0</v>
      </c>
      <c r="D30" s="78">
        <v>0</v>
      </c>
      <c r="E30" s="43"/>
      <c r="F30" s="66">
        <v>45046</v>
      </c>
      <c r="G30" s="43">
        <v>172.99685996641099</v>
      </c>
      <c r="H30" s="68">
        <f t="shared" si="0"/>
        <v>172.99685996641099</v>
      </c>
      <c r="I30" s="77"/>
      <c r="J30" s="77">
        <v>1.1000000000000001</v>
      </c>
      <c r="K30" s="94">
        <f t="shared" ref="K30:K41" si="2">H30*J30</f>
        <v>190.29654596305201</v>
      </c>
    </row>
    <row r="31" spans="1:11">
      <c r="A31" s="66">
        <v>45077</v>
      </c>
      <c r="B31" s="77"/>
      <c r="C31" s="77">
        <v>0</v>
      </c>
      <c r="D31" s="78">
        <v>0</v>
      </c>
      <c r="E31" s="43"/>
      <c r="F31" s="66">
        <v>45077</v>
      </c>
      <c r="G31" s="43">
        <v>156.02377175243799</v>
      </c>
      <c r="H31" s="68">
        <f t="shared" si="0"/>
        <v>156.02377175243799</v>
      </c>
      <c r="I31" s="77"/>
      <c r="J31" s="77">
        <v>1.1000000000000001</v>
      </c>
      <c r="K31" s="94">
        <f t="shared" si="2"/>
        <v>171.62614892768099</v>
      </c>
    </row>
    <row r="32" spans="1:11">
      <c r="A32" s="66">
        <v>45107</v>
      </c>
      <c r="B32" s="77"/>
      <c r="C32" s="77">
        <v>0</v>
      </c>
      <c r="D32" s="78">
        <v>0</v>
      </c>
      <c r="E32" s="43"/>
      <c r="F32" s="66">
        <v>45107</v>
      </c>
      <c r="G32" s="43">
        <v>147.30840636456199</v>
      </c>
      <c r="H32" s="68">
        <f t="shared" si="0"/>
        <v>147.30840636456199</v>
      </c>
      <c r="I32" s="77"/>
      <c r="J32" s="77">
        <v>1.1000000000000001</v>
      </c>
      <c r="K32" s="94">
        <f t="shared" si="2"/>
        <v>162.039247001018</v>
      </c>
    </row>
    <row r="33" spans="1:11">
      <c r="A33" s="66">
        <v>45138</v>
      </c>
      <c r="B33" s="77"/>
      <c r="C33" s="77">
        <v>0</v>
      </c>
      <c r="D33" s="78">
        <v>0</v>
      </c>
      <c r="E33" s="43"/>
      <c r="F33" s="66">
        <v>45138</v>
      </c>
      <c r="G33" s="43">
        <v>187.601018807895</v>
      </c>
      <c r="H33" s="68">
        <f t="shared" si="0"/>
        <v>187.601018807895</v>
      </c>
      <c r="I33" s="77"/>
      <c r="J33" s="77">
        <v>1.1000000000000001</v>
      </c>
      <c r="K33" s="94">
        <f t="shared" si="2"/>
        <v>206.361120688684</v>
      </c>
    </row>
    <row r="34" spans="1:11">
      <c r="A34" s="66">
        <v>45169</v>
      </c>
      <c r="B34" s="77"/>
      <c r="C34" s="77">
        <v>0</v>
      </c>
      <c r="D34" s="78">
        <v>0</v>
      </c>
      <c r="E34" s="43"/>
      <c r="F34" s="66">
        <v>45169</v>
      </c>
      <c r="G34" s="43">
        <v>218.99769103948299</v>
      </c>
      <c r="H34" s="68">
        <f t="shared" si="0"/>
        <v>218.99769103948299</v>
      </c>
      <c r="I34" s="77"/>
      <c r="J34" s="77">
        <v>1.1000000000000001</v>
      </c>
      <c r="K34" s="94">
        <f t="shared" si="2"/>
        <v>240.897460143431</v>
      </c>
    </row>
    <row r="35" spans="1:11">
      <c r="A35" s="66">
        <v>45199</v>
      </c>
      <c r="B35" s="77"/>
      <c r="C35" s="77">
        <v>0</v>
      </c>
      <c r="D35" s="78">
        <v>0</v>
      </c>
      <c r="E35" s="43"/>
      <c r="F35" s="66">
        <v>45199</v>
      </c>
      <c r="G35" s="43">
        <v>233.875425001238</v>
      </c>
      <c r="H35" s="68">
        <f t="shared" si="0"/>
        <v>233.875425001238</v>
      </c>
      <c r="I35" s="77"/>
      <c r="J35" s="77">
        <v>1.1000000000000001</v>
      </c>
      <c r="K35" s="94">
        <f t="shared" si="2"/>
        <v>257.26296750136203</v>
      </c>
    </row>
    <row r="36" spans="1:11">
      <c r="A36" s="66">
        <v>45230</v>
      </c>
      <c r="B36" s="77"/>
      <c r="C36" s="77">
        <v>0</v>
      </c>
      <c r="D36" s="78">
        <v>0</v>
      </c>
      <c r="E36" s="43"/>
      <c r="F36" s="66">
        <v>45230</v>
      </c>
      <c r="G36" s="43">
        <v>137.287193245596</v>
      </c>
      <c r="H36" s="68">
        <f t="shared" si="0"/>
        <v>137.287193245596</v>
      </c>
      <c r="I36" s="77"/>
      <c r="J36" s="77">
        <v>1.1000000000000001</v>
      </c>
      <c r="K36" s="94">
        <f t="shared" si="2"/>
        <v>151.015912570155</v>
      </c>
    </row>
    <row r="37" spans="1:11">
      <c r="A37" s="66">
        <v>45260</v>
      </c>
      <c r="B37" s="77"/>
      <c r="C37" s="77">
        <v>0</v>
      </c>
      <c r="D37" s="78">
        <v>0</v>
      </c>
      <c r="E37" s="43"/>
      <c r="F37" s="66">
        <v>45260</v>
      </c>
      <c r="G37" s="43">
        <v>182.38997560572901</v>
      </c>
      <c r="H37" s="68">
        <f t="shared" si="0"/>
        <v>182.38997560572901</v>
      </c>
      <c r="I37" s="77"/>
      <c r="J37" s="77">
        <v>1.1000000000000001</v>
      </c>
      <c r="K37" s="94">
        <f t="shared" si="2"/>
        <v>200.62897316630199</v>
      </c>
    </row>
    <row r="38" spans="1:11">
      <c r="A38" s="66">
        <v>45291</v>
      </c>
      <c r="B38" s="77"/>
      <c r="C38" s="77">
        <v>0</v>
      </c>
      <c r="D38" s="78">
        <v>0</v>
      </c>
      <c r="E38" s="43"/>
      <c r="F38" s="66">
        <v>45291</v>
      </c>
      <c r="G38" s="43">
        <v>256.06565912740399</v>
      </c>
      <c r="H38" s="68">
        <f t="shared" si="0"/>
        <v>256.06565912740399</v>
      </c>
      <c r="I38" s="77"/>
      <c r="J38" s="77">
        <v>1.1000000000000001</v>
      </c>
      <c r="K38" s="94">
        <f t="shared" si="2"/>
        <v>281.67222504014501</v>
      </c>
    </row>
    <row r="39" spans="1:11">
      <c r="A39" s="66">
        <v>45322</v>
      </c>
      <c r="B39" s="77"/>
      <c r="C39" s="77">
        <v>0</v>
      </c>
      <c r="D39" s="78">
        <v>0</v>
      </c>
      <c r="E39" s="43"/>
      <c r="F39" s="66">
        <v>45322</v>
      </c>
      <c r="G39" s="43">
        <v>264.93067748956702</v>
      </c>
      <c r="H39" s="68">
        <f t="shared" si="0"/>
        <v>264.93067748956702</v>
      </c>
      <c r="I39" s="77"/>
      <c r="J39" s="77">
        <v>1.1000000000000001</v>
      </c>
      <c r="K39" s="94">
        <f t="shared" si="2"/>
        <v>291.42374523852402</v>
      </c>
    </row>
    <row r="40" spans="1:11">
      <c r="A40" s="69">
        <v>45351</v>
      </c>
      <c r="B40" s="80"/>
      <c r="C40" s="80">
        <v>0</v>
      </c>
      <c r="D40" s="81">
        <v>0</v>
      </c>
      <c r="E40" s="43"/>
      <c r="F40" s="69">
        <v>45351</v>
      </c>
      <c r="G40" s="80">
        <v>331.86870935197902</v>
      </c>
      <c r="H40" s="72">
        <f t="shared" si="0"/>
        <v>331.86870935197902</v>
      </c>
      <c r="I40" s="80"/>
      <c r="J40" s="80">
        <v>1.1000000000000001</v>
      </c>
      <c r="K40" s="95">
        <f t="shared" si="2"/>
        <v>365.05558028717701</v>
      </c>
    </row>
    <row r="41" spans="1:11">
      <c r="A41" s="73">
        <v>45382</v>
      </c>
      <c r="B41" s="74"/>
      <c r="C41" s="74">
        <v>0</v>
      </c>
      <c r="D41" s="75">
        <v>0</v>
      </c>
      <c r="E41" s="43"/>
      <c r="F41" s="73">
        <v>45382</v>
      </c>
      <c r="G41" s="74">
        <v>389.93399183212301</v>
      </c>
      <c r="H41" s="65">
        <f t="shared" ref="H41:H52" si="3">G41</f>
        <v>389.93399183212301</v>
      </c>
      <c r="I41" s="74"/>
      <c r="J41" s="74">
        <v>1.1000000000000001</v>
      </c>
      <c r="K41" s="93">
        <f t="shared" si="2"/>
        <v>428.92739101533499</v>
      </c>
    </row>
    <row r="42" spans="1:11">
      <c r="A42" s="76">
        <v>45412</v>
      </c>
      <c r="B42" s="77"/>
      <c r="C42" s="77">
        <v>0</v>
      </c>
      <c r="D42" s="78">
        <v>0</v>
      </c>
      <c r="E42" s="43"/>
      <c r="F42" s="76">
        <v>45412</v>
      </c>
      <c r="G42" s="43">
        <v>377.56452885492399</v>
      </c>
      <c r="H42" s="68">
        <f t="shared" si="3"/>
        <v>377.56452885492399</v>
      </c>
      <c r="I42" s="77"/>
      <c r="J42" s="77">
        <v>1.1000000000000001</v>
      </c>
      <c r="K42" s="94">
        <f t="shared" ref="K42:K52" si="4">H42*J42</f>
        <v>415.32098174041602</v>
      </c>
    </row>
    <row r="43" spans="1:11">
      <c r="A43" s="76">
        <v>45443</v>
      </c>
      <c r="B43" s="77"/>
      <c r="C43" s="77">
        <v>0</v>
      </c>
      <c r="D43" s="78">
        <v>0</v>
      </c>
      <c r="E43" s="43"/>
      <c r="F43" s="76">
        <v>45443</v>
      </c>
      <c r="G43" s="43">
        <v>297.22422036605502</v>
      </c>
      <c r="H43" s="68">
        <f t="shared" si="3"/>
        <v>297.22422036605502</v>
      </c>
      <c r="I43" s="77"/>
      <c r="J43" s="77">
        <v>1.1000000000000001</v>
      </c>
      <c r="K43" s="94">
        <f t="shared" si="4"/>
        <v>326.94664240266098</v>
      </c>
    </row>
    <row r="44" spans="1:11">
      <c r="A44" s="76">
        <v>45473</v>
      </c>
      <c r="B44" s="77"/>
      <c r="C44" s="77">
        <v>0</v>
      </c>
      <c r="D44" s="78">
        <v>0</v>
      </c>
      <c r="E44" s="43"/>
      <c r="F44" s="76">
        <v>45473</v>
      </c>
      <c r="G44" s="43">
        <v>340.290723908769</v>
      </c>
      <c r="H44" s="68">
        <f t="shared" si="3"/>
        <v>340.290723908769</v>
      </c>
      <c r="I44" s="77"/>
      <c r="J44" s="77">
        <v>1.1000000000000001</v>
      </c>
      <c r="K44" s="94">
        <f t="shared" si="4"/>
        <v>374.31979629964502</v>
      </c>
    </row>
    <row r="45" spans="1:11">
      <c r="A45" s="76">
        <v>45504</v>
      </c>
      <c r="B45" s="77"/>
      <c r="C45" s="77">
        <v>0</v>
      </c>
      <c r="D45" s="78">
        <v>0</v>
      </c>
      <c r="E45" s="43"/>
      <c r="F45" s="76">
        <v>45504</v>
      </c>
      <c r="G45" s="43">
        <v>373.66853659321299</v>
      </c>
      <c r="H45" s="68">
        <f t="shared" si="3"/>
        <v>373.66853659321299</v>
      </c>
      <c r="I45" s="77"/>
      <c r="J45" s="77">
        <v>1.1000000000000001</v>
      </c>
      <c r="K45" s="94">
        <f t="shared" si="4"/>
        <v>411.03539025253502</v>
      </c>
    </row>
    <row r="46" spans="1:11">
      <c r="A46" s="76">
        <v>45535</v>
      </c>
      <c r="B46" s="77"/>
      <c r="C46" s="77">
        <v>0</v>
      </c>
      <c r="D46" s="78">
        <v>0</v>
      </c>
      <c r="E46" s="43"/>
      <c r="F46" s="76">
        <v>45535</v>
      </c>
      <c r="G46" s="43">
        <v>369.58969323666201</v>
      </c>
      <c r="H46" s="68">
        <f t="shared" si="3"/>
        <v>369.58969323666201</v>
      </c>
      <c r="I46" s="77"/>
      <c r="J46" s="77">
        <v>1.1000000000000001</v>
      </c>
      <c r="K46" s="94">
        <f t="shared" si="4"/>
        <v>406.54866256032898</v>
      </c>
    </row>
    <row r="47" spans="1:11">
      <c r="A47" s="76">
        <v>45565</v>
      </c>
      <c r="B47" s="77"/>
      <c r="C47" s="77">
        <v>0</v>
      </c>
      <c r="D47" s="78">
        <v>0</v>
      </c>
      <c r="E47" s="43"/>
      <c r="F47" s="76">
        <v>45565</v>
      </c>
      <c r="G47" s="43">
        <v>348.00925039437698</v>
      </c>
      <c r="H47" s="68">
        <f t="shared" si="3"/>
        <v>348.00925039437698</v>
      </c>
      <c r="I47" s="77"/>
      <c r="J47" s="77">
        <v>1.1000000000000001</v>
      </c>
      <c r="K47" s="94">
        <f t="shared" si="4"/>
        <v>382.810175433815</v>
      </c>
    </row>
    <row r="48" spans="1:11">
      <c r="A48" s="76">
        <v>45596</v>
      </c>
      <c r="B48" s="77"/>
      <c r="C48" s="77">
        <v>0</v>
      </c>
      <c r="D48" s="78">
        <v>0</v>
      </c>
      <c r="E48" s="43"/>
      <c r="F48" s="76">
        <v>45596</v>
      </c>
      <c r="G48" s="43">
        <v>329.27685712225099</v>
      </c>
      <c r="H48" s="68">
        <f t="shared" si="3"/>
        <v>329.27685712225099</v>
      </c>
      <c r="I48" s="77"/>
      <c r="J48" s="77">
        <v>1.1000000000000001</v>
      </c>
      <c r="K48" s="94">
        <f t="shared" si="4"/>
        <v>362.204542834476</v>
      </c>
    </row>
    <row r="49" spans="1:18">
      <c r="A49" s="76">
        <v>45626</v>
      </c>
      <c r="B49" s="77"/>
      <c r="C49" s="77">
        <v>0</v>
      </c>
      <c r="D49" s="78">
        <v>0</v>
      </c>
      <c r="E49" s="43"/>
      <c r="F49" s="76">
        <v>45626</v>
      </c>
      <c r="G49" s="43">
        <v>341.31486925004799</v>
      </c>
      <c r="H49" s="68">
        <f t="shared" si="3"/>
        <v>341.31486925004799</v>
      </c>
      <c r="I49" s="77"/>
      <c r="J49" s="77">
        <v>1.1000000000000001</v>
      </c>
      <c r="K49" s="94">
        <f t="shared" si="4"/>
        <v>375.44635617505298</v>
      </c>
    </row>
    <row r="50" spans="1:18">
      <c r="A50" s="76">
        <v>45657</v>
      </c>
      <c r="B50" s="77"/>
      <c r="C50" s="77">
        <v>0</v>
      </c>
      <c r="D50" s="78">
        <v>0</v>
      </c>
      <c r="E50" s="43"/>
      <c r="F50" s="76">
        <v>45657</v>
      </c>
      <c r="G50" s="43">
        <v>331.17052715547698</v>
      </c>
      <c r="H50" s="68">
        <f t="shared" si="3"/>
        <v>331.17052715547698</v>
      </c>
      <c r="I50" s="77"/>
      <c r="J50" s="77">
        <v>1.1000000000000001</v>
      </c>
      <c r="K50" s="94">
        <f t="shared" si="4"/>
        <v>364.287579871025</v>
      </c>
    </row>
    <row r="51" spans="1:18">
      <c r="A51" s="76">
        <v>45688</v>
      </c>
      <c r="B51" s="77"/>
      <c r="C51" s="77">
        <v>0</v>
      </c>
      <c r="D51" s="78">
        <v>0</v>
      </c>
      <c r="E51" s="43"/>
      <c r="F51" s="76">
        <v>45688</v>
      </c>
      <c r="G51" s="43">
        <v>347.23906256352399</v>
      </c>
      <c r="H51" s="68">
        <f t="shared" si="3"/>
        <v>347.23906256352399</v>
      </c>
      <c r="I51" s="77"/>
      <c r="J51" s="77">
        <v>1.1000000000000001</v>
      </c>
      <c r="K51" s="94">
        <f t="shared" si="4"/>
        <v>381.96296881987701</v>
      </c>
    </row>
    <row r="52" spans="1:18">
      <c r="A52" s="79">
        <v>45716</v>
      </c>
      <c r="B52" s="80"/>
      <c r="C52" s="80">
        <v>0</v>
      </c>
      <c r="D52" s="81">
        <v>0</v>
      </c>
      <c r="E52" s="43"/>
      <c r="F52" s="79">
        <v>45716</v>
      </c>
      <c r="G52" s="80">
        <v>344.99968982292899</v>
      </c>
      <c r="H52" s="72">
        <f t="shared" si="3"/>
        <v>344.99968982292899</v>
      </c>
      <c r="I52" s="80"/>
      <c r="J52" s="80">
        <v>1.1000000000000001</v>
      </c>
      <c r="K52" s="95">
        <f t="shared" si="4"/>
        <v>379.499658805222</v>
      </c>
    </row>
    <row r="53" spans="1:18">
      <c r="H53" s="68"/>
      <c r="I53" s="43"/>
      <c r="J53" s="43"/>
      <c r="K53" s="68"/>
    </row>
    <row r="54" spans="1:18">
      <c r="A54" t="s">
        <v>177</v>
      </c>
      <c r="B54" t="s">
        <v>243</v>
      </c>
      <c r="C54" s="98">
        <f>AVERAGE(K29:K40)</f>
        <v>222.92498638529</v>
      </c>
    </row>
    <row r="55" spans="1:18">
      <c r="B55" t="s">
        <v>122</v>
      </c>
      <c r="C55" s="98">
        <f>AVERAGE(K41:K52)</f>
        <v>384.10917885086599</v>
      </c>
      <c r="D55" s="84">
        <f>(C55-C54)/C54</f>
        <v>0.72304228915369495</v>
      </c>
    </row>
    <row r="58" spans="1:18" ht="14.5">
      <c r="K58" s="44" t="s">
        <v>124</v>
      </c>
      <c r="L58" s="44"/>
      <c r="M58" s="44"/>
      <c r="N58" s="39">
        <v>44249</v>
      </c>
    </row>
    <row r="60" spans="1:18">
      <c r="A60" s="29"/>
      <c r="B60" s="30" t="s">
        <v>130</v>
      </c>
      <c r="C60" s="29" t="s">
        <v>131</v>
      </c>
      <c r="D60" s="29">
        <v>1620.04</v>
      </c>
      <c r="E60" s="31">
        <v>45716</v>
      </c>
      <c r="F60" s="29"/>
      <c r="G60" s="29"/>
      <c r="H60" s="29"/>
      <c r="K60" s="45" t="s">
        <v>125</v>
      </c>
      <c r="L60" s="45" t="s">
        <v>126</v>
      </c>
      <c r="M60" s="45" t="s">
        <v>127</v>
      </c>
      <c r="N60" s="45" t="s">
        <v>128</v>
      </c>
      <c r="O60" s="45" t="s">
        <v>129</v>
      </c>
    </row>
    <row r="61" spans="1:18">
      <c r="A61" s="29"/>
      <c r="B61" s="32">
        <f>L66</f>
        <v>8.8194649960937496E-2</v>
      </c>
      <c r="C61" s="29" t="s">
        <v>133</v>
      </c>
      <c r="D61" s="86">
        <f>B61*$D$60</f>
        <v>142.87886072271701</v>
      </c>
      <c r="E61" s="29" t="s">
        <v>231</v>
      </c>
      <c r="F61" s="29"/>
      <c r="G61" s="29"/>
      <c r="H61" s="29"/>
      <c r="K61" s="47">
        <v>0</v>
      </c>
      <c r="N61" s="56">
        <f>N58</f>
        <v>44249</v>
      </c>
      <c r="O61" s="57"/>
      <c r="P61" s="57" t="s">
        <v>244</v>
      </c>
      <c r="Q61" s="57"/>
      <c r="R61" s="100"/>
    </row>
    <row r="62" spans="1:18">
      <c r="A62" s="29"/>
      <c r="B62" s="32">
        <f>M66</f>
        <v>0.24199999999999999</v>
      </c>
      <c r="C62" s="29" t="s">
        <v>135</v>
      </c>
      <c r="D62" s="86">
        <f>B62*$D$60</f>
        <v>392.04968000000002</v>
      </c>
      <c r="E62" s="29" t="s">
        <v>231</v>
      </c>
      <c r="F62" s="29"/>
      <c r="G62" s="29"/>
      <c r="H62" s="29"/>
      <c r="K62" s="47">
        <v>1</v>
      </c>
      <c r="L62" s="50">
        <v>7.9899999999999999E-2</v>
      </c>
      <c r="M62" s="50">
        <v>0.24199999999999999</v>
      </c>
      <c r="N62" s="25">
        <v>44620</v>
      </c>
      <c r="O62" s="60">
        <v>0</v>
      </c>
    </row>
    <row r="63" spans="1:18">
      <c r="A63" s="29"/>
      <c r="B63" s="29"/>
      <c r="C63" s="29" t="s">
        <v>137</v>
      </c>
      <c r="D63" s="34">
        <v>0.1517</v>
      </c>
      <c r="E63" s="29"/>
      <c r="F63" s="29"/>
      <c r="G63" s="29"/>
      <c r="H63" s="29"/>
      <c r="K63" s="47">
        <v>2</v>
      </c>
      <c r="L63" s="50">
        <f t="shared" ref="L63:L76" si="5">L62*(1+O63)</f>
        <v>8.1897499999999998E-2</v>
      </c>
      <c r="M63" s="50">
        <f t="shared" ref="M63:M79" si="6">M62</f>
        <v>0.24199999999999999</v>
      </c>
      <c r="N63" s="25">
        <f t="shared" ref="N63:N78" si="7">EDATE(N62,12)</f>
        <v>44985</v>
      </c>
      <c r="O63" s="60">
        <v>2.5000000000000001E-2</v>
      </c>
    </row>
    <row r="64" spans="1:18">
      <c r="A64" s="29"/>
      <c r="B64" s="35">
        <f>D64/D60</f>
        <v>0.201130722956957</v>
      </c>
      <c r="C64" s="29" t="s">
        <v>208</v>
      </c>
      <c r="D64" s="99">
        <f>C55*(1-D63)</f>
        <v>325.83981641918899</v>
      </c>
      <c r="E64" s="29" t="s">
        <v>231</v>
      </c>
      <c r="F64" s="29"/>
      <c r="G64" s="29"/>
      <c r="H64" s="29"/>
      <c r="K64" s="47">
        <v>3</v>
      </c>
      <c r="L64" s="50">
        <f t="shared" si="5"/>
        <v>8.3944937499999997E-2</v>
      </c>
      <c r="M64" s="50">
        <f t="shared" si="6"/>
        <v>0.24199999999999999</v>
      </c>
      <c r="N64" s="25">
        <f t="shared" si="7"/>
        <v>45350</v>
      </c>
      <c r="O64" s="60">
        <f t="shared" ref="O64:O79" si="8">O63</f>
        <v>2.5000000000000001E-2</v>
      </c>
    </row>
    <row r="65" spans="11:20">
      <c r="K65" s="47">
        <v>4</v>
      </c>
      <c r="L65" s="50">
        <f t="shared" si="5"/>
        <v>8.6043560937499999E-2</v>
      </c>
      <c r="M65" s="50">
        <f t="shared" si="6"/>
        <v>0.24199999999999999</v>
      </c>
      <c r="N65" s="25">
        <f t="shared" si="7"/>
        <v>45716</v>
      </c>
      <c r="O65" s="60">
        <f t="shared" si="8"/>
        <v>2.5000000000000001E-2</v>
      </c>
      <c r="P65" s="57" t="s">
        <v>245</v>
      </c>
      <c r="Q65" s="100"/>
      <c r="R65" s="100"/>
      <c r="S65" s="100"/>
      <c r="T65" s="100"/>
    </row>
    <row r="66" spans="11:20">
      <c r="K66" s="48">
        <v>5</v>
      </c>
      <c r="L66" s="49">
        <f t="shared" si="5"/>
        <v>8.8194649960937496E-2</v>
      </c>
      <c r="M66" s="49">
        <f t="shared" si="6"/>
        <v>0.24199999999999999</v>
      </c>
      <c r="N66" s="58">
        <f t="shared" si="7"/>
        <v>46081</v>
      </c>
      <c r="O66" s="59">
        <f t="shared" si="8"/>
        <v>2.5000000000000001E-2</v>
      </c>
    </row>
    <row r="67" spans="11:20">
      <c r="K67" s="47">
        <v>6</v>
      </c>
      <c r="L67" s="50">
        <f t="shared" si="5"/>
        <v>9.0399516209960895E-2</v>
      </c>
      <c r="M67" s="50">
        <f t="shared" si="6"/>
        <v>0.24199999999999999</v>
      </c>
      <c r="N67" s="25">
        <f t="shared" si="7"/>
        <v>46446</v>
      </c>
      <c r="O67" s="60">
        <f t="shared" si="8"/>
        <v>2.5000000000000001E-2</v>
      </c>
    </row>
    <row r="68" spans="11:20">
      <c r="K68" s="47">
        <v>7</v>
      </c>
      <c r="L68" s="50">
        <f t="shared" si="5"/>
        <v>9.2659504115209901E-2</v>
      </c>
      <c r="M68" s="50">
        <f t="shared" si="6"/>
        <v>0.24199999999999999</v>
      </c>
      <c r="N68" s="25">
        <f t="shared" si="7"/>
        <v>46811</v>
      </c>
      <c r="O68" s="60">
        <f t="shared" si="8"/>
        <v>2.5000000000000001E-2</v>
      </c>
    </row>
    <row r="69" spans="11:20">
      <c r="K69" s="47">
        <v>8</v>
      </c>
      <c r="L69" s="50">
        <f t="shared" si="5"/>
        <v>9.4975991718090194E-2</v>
      </c>
      <c r="M69" s="50">
        <f t="shared" si="6"/>
        <v>0.24199999999999999</v>
      </c>
      <c r="N69" s="25">
        <f t="shared" si="7"/>
        <v>47177</v>
      </c>
      <c r="O69" s="60">
        <f t="shared" si="8"/>
        <v>2.5000000000000001E-2</v>
      </c>
    </row>
    <row r="70" spans="11:20">
      <c r="K70" s="47">
        <v>9</v>
      </c>
      <c r="L70" s="50">
        <f t="shared" si="5"/>
        <v>9.7350391511042397E-2</v>
      </c>
      <c r="M70" s="50">
        <f t="shared" si="6"/>
        <v>0.24199999999999999</v>
      </c>
      <c r="N70" s="25">
        <f t="shared" si="7"/>
        <v>47542</v>
      </c>
      <c r="O70" s="60">
        <f t="shared" si="8"/>
        <v>2.5000000000000001E-2</v>
      </c>
    </row>
    <row r="71" spans="11:20">
      <c r="K71" s="47">
        <v>10</v>
      </c>
      <c r="L71" s="50">
        <f t="shared" si="5"/>
        <v>9.9784151298818499E-2</v>
      </c>
      <c r="M71" s="50">
        <f t="shared" si="6"/>
        <v>0.24199999999999999</v>
      </c>
      <c r="N71" s="25">
        <f t="shared" si="7"/>
        <v>47907</v>
      </c>
      <c r="O71" s="60">
        <f t="shared" si="8"/>
        <v>2.5000000000000001E-2</v>
      </c>
    </row>
    <row r="72" spans="11:20">
      <c r="K72" s="47">
        <v>11</v>
      </c>
      <c r="L72" s="50">
        <f t="shared" si="5"/>
        <v>0.102278755081289</v>
      </c>
      <c r="M72" s="50">
        <f t="shared" si="6"/>
        <v>0.24199999999999999</v>
      </c>
      <c r="N72" s="25">
        <f t="shared" si="7"/>
        <v>48272</v>
      </c>
      <c r="O72" s="60">
        <f t="shared" si="8"/>
        <v>2.5000000000000001E-2</v>
      </c>
    </row>
    <row r="73" spans="11:20">
      <c r="K73" s="47">
        <v>12</v>
      </c>
      <c r="L73" s="50">
        <f t="shared" si="5"/>
        <v>0.104835723958321</v>
      </c>
      <c r="M73" s="50">
        <f t="shared" si="6"/>
        <v>0.24199999999999999</v>
      </c>
      <c r="N73" s="25">
        <f t="shared" si="7"/>
        <v>48638</v>
      </c>
      <c r="O73" s="60">
        <f t="shared" si="8"/>
        <v>2.5000000000000001E-2</v>
      </c>
    </row>
    <row r="74" spans="11:20">
      <c r="K74" s="47">
        <v>13</v>
      </c>
      <c r="L74" s="50">
        <f t="shared" si="5"/>
        <v>0.10745661705727901</v>
      </c>
      <c r="M74" s="50">
        <f t="shared" si="6"/>
        <v>0.24199999999999999</v>
      </c>
      <c r="N74" s="25">
        <f t="shared" si="7"/>
        <v>49003</v>
      </c>
      <c r="O74" s="60">
        <f t="shared" si="8"/>
        <v>2.5000000000000001E-2</v>
      </c>
    </row>
    <row r="75" spans="11:20">
      <c r="K75" s="47">
        <v>14</v>
      </c>
      <c r="L75" s="50">
        <f t="shared" si="5"/>
        <v>0.110143032483711</v>
      </c>
      <c r="M75" s="50">
        <f t="shared" si="6"/>
        <v>0.24199999999999999</v>
      </c>
      <c r="N75" s="25">
        <f t="shared" si="7"/>
        <v>49368</v>
      </c>
      <c r="O75" s="60">
        <f t="shared" si="8"/>
        <v>2.5000000000000001E-2</v>
      </c>
    </row>
    <row r="76" spans="11:20">
      <c r="K76" s="47">
        <v>15</v>
      </c>
      <c r="L76" s="50">
        <f t="shared" si="5"/>
        <v>0.112896608295804</v>
      </c>
      <c r="M76" s="50">
        <f t="shared" si="6"/>
        <v>0.24199999999999999</v>
      </c>
      <c r="N76" s="25">
        <f t="shared" si="7"/>
        <v>49733</v>
      </c>
      <c r="O76" s="60">
        <f t="shared" si="8"/>
        <v>2.5000000000000001E-2</v>
      </c>
    </row>
    <row r="77" spans="11:20">
      <c r="K77" s="47">
        <v>16</v>
      </c>
      <c r="L77" s="50">
        <f t="shared" ref="L77" si="9">L76*(1+O77)</f>
        <v>0.115719023503199</v>
      </c>
      <c r="M77" s="50">
        <f t="shared" si="6"/>
        <v>0.24199999999999999</v>
      </c>
      <c r="N77" s="25">
        <f t="shared" si="7"/>
        <v>50099</v>
      </c>
      <c r="O77" s="60">
        <f t="shared" si="8"/>
        <v>2.5000000000000001E-2</v>
      </c>
    </row>
    <row r="78" spans="11:20">
      <c r="K78" s="47">
        <v>17</v>
      </c>
      <c r="L78" s="50">
        <f t="shared" ref="L78:L79" si="10">L77*(1+O78)</f>
        <v>0.11861199909077901</v>
      </c>
      <c r="M78" s="50">
        <f t="shared" si="6"/>
        <v>0.24199999999999999</v>
      </c>
      <c r="N78" s="25">
        <f t="shared" si="7"/>
        <v>50464</v>
      </c>
      <c r="O78" s="60">
        <f t="shared" si="8"/>
        <v>2.5000000000000001E-2</v>
      </c>
    </row>
    <row r="79" spans="11:20">
      <c r="K79" s="47">
        <v>18</v>
      </c>
      <c r="L79" s="50">
        <f t="shared" si="10"/>
        <v>0.121577299068048</v>
      </c>
      <c r="M79" s="50">
        <f t="shared" si="6"/>
        <v>0.24199999999999999</v>
      </c>
      <c r="N79" s="25">
        <f>EDATE(N78,10)</f>
        <v>50767</v>
      </c>
      <c r="O79" s="60">
        <f t="shared" si="8"/>
        <v>2.5000000000000001E-2</v>
      </c>
    </row>
    <row r="81" spans="1:12">
      <c r="A81" s="384" t="s">
        <v>139</v>
      </c>
      <c r="B81" s="384"/>
      <c r="C81" s="384"/>
      <c r="D81" s="384"/>
      <c r="E81" s="384"/>
      <c r="F81" s="384"/>
      <c r="G81" s="384" t="s">
        <v>246</v>
      </c>
      <c r="H81" s="384"/>
      <c r="I81" s="384"/>
      <c r="J81" s="384"/>
      <c r="K81" s="384"/>
      <c r="L81" s="384"/>
    </row>
  </sheetData>
  <mergeCells count="5">
    <mergeCell ref="A1:D1"/>
    <mergeCell ref="F1:K1"/>
    <mergeCell ref="A81:F81"/>
    <mergeCell ref="G81:L81"/>
    <mergeCell ref="M4:S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T54"/>
  <sheetViews>
    <sheetView workbookViewId="0">
      <selection activeCell="D39" sqref="D39"/>
    </sheetView>
  </sheetViews>
  <sheetFormatPr defaultColWidth="9" defaultRowHeight="14"/>
  <cols>
    <col min="1" max="1" width="9.453125" customWidth="1"/>
    <col min="2" max="2" width="27" customWidth="1"/>
    <col min="3" max="3" width="25.26953125" customWidth="1"/>
    <col min="4" max="4" width="18.1796875" customWidth="1"/>
    <col min="6" max="6" width="9.453125" customWidth="1"/>
    <col min="7" max="7" width="15.1796875" customWidth="1"/>
    <col min="9" max="9" width="18" customWidth="1"/>
    <col min="10" max="10" width="18.1796875" customWidth="1"/>
    <col min="14" max="14" width="15" customWidth="1"/>
    <col min="20" max="20" width="16.26953125" customWidth="1"/>
  </cols>
  <sheetData>
    <row r="1" spans="1:20">
      <c r="A1" s="397" t="s">
        <v>225</v>
      </c>
      <c r="B1" s="398"/>
      <c r="C1" s="398"/>
      <c r="D1" s="398"/>
      <c r="F1" s="384" t="s">
        <v>226</v>
      </c>
      <c r="G1" s="384"/>
      <c r="H1" s="384"/>
      <c r="I1" s="384"/>
      <c r="J1" s="384"/>
      <c r="K1" s="384"/>
    </row>
    <row r="2" spans="1:20">
      <c r="A2" s="61" t="s">
        <v>141</v>
      </c>
      <c r="B2" s="61" t="s">
        <v>145</v>
      </c>
      <c r="C2" s="61" t="s">
        <v>146</v>
      </c>
      <c r="D2" s="61" t="s">
        <v>147</v>
      </c>
      <c r="F2" s="61" t="s">
        <v>141</v>
      </c>
      <c r="G2" s="61" t="s">
        <v>142</v>
      </c>
      <c r="H2" s="61" t="s">
        <v>145</v>
      </c>
      <c r="I2" s="61" t="s">
        <v>146</v>
      </c>
      <c r="J2" s="61" t="s">
        <v>147</v>
      </c>
    </row>
    <row r="3" spans="1:20">
      <c r="A3" s="4" t="s">
        <v>104</v>
      </c>
      <c r="B3" s="4" t="s">
        <v>112</v>
      </c>
      <c r="C3" s="4" t="s">
        <v>113</v>
      </c>
      <c r="D3" s="4" t="s">
        <v>114</v>
      </c>
      <c r="F3" s="4" t="s">
        <v>104</v>
      </c>
      <c r="G3" s="4" t="s">
        <v>228</v>
      </c>
      <c r="H3" s="4" t="s">
        <v>112</v>
      </c>
      <c r="I3" s="4" t="s">
        <v>113</v>
      </c>
      <c r="J3" s="4" t="s">
        <v>114</v>
      </c>
      <c r="K3" s="4" t="s">
        <v>112</v>
      </c>
    </row>
    <row r="4" spans="1:20">
      <c r="A4" s="62">
        <v>45016</v>
      </c>
      <c r="B4" s="63"/>
      <c r="C4" s="63">
        <v>0</v>
      </c>
      <c r="D4" s="64">
        <v>0</v>
      </c>
      <c r="F4" s="62">
        <v>45016</v>
      </c>
      <c r="G4" s="63">
        <v>198.005134842985</v>
      </c>
      <c r="H4" s="65">
        <f t="shared" ref="H4:H15" si="0">G4</f>
        <v>198.005134842985</v>
      </c>
      <c r="I4" s="74">
        <v>0</v>
      </c>
      <c r="J4" s="74">
        <v>1.1000000000000001</v>
      </c>
      <c r="K4" s="93">
        <f>H4*J4</f>
        <v>217.805648327283</v>
      </c>
    </row>
    <row r="5" spans="1:20" ht="14.5" customHeight="1">
      <c r="A5" s="66">
        <v>45046</v>
      </c>
      <c r="B5" s="21"/>
      <c r="C5" s="21">
        <v>0</v>
      </c>
      <c r="D5" s="14">
        <v>0</v>
      </c>
      <c r="F5" s="66">
        <v>45046</v>
      </c>
      <c r="G5" s="67">
        <v>178.4621453314</v>
      </c>
      <c r="H5" s="68">
        <f t="shared" si="0"/>
        <v>178.4621453314</v>
      </c>
      <c r="I5" s="77">
        <v>0</v>
      </c>
      <c r="J5" s="77">
        <v>1.1000000000000001</v>
      </c>
      <c r="K5" s="94">
        <f t="shared" ref="K5:K16" si="1">H5*J5</f>
        <v>196.30835986453999</v>
      </c>
      <c r="N5" s="399" t="s">
        <v>242</v>
      </c>
      <c r="O5" s="400"/>
      <c r="P5" s="400"/>
      <c r="Q5" s="400"/>
      <c r="R5" s="400"/>
      <c r="S5" s="400"/>
      <c r="T5" s="401"/>
    </row>
    <row r="6" spans="1:20">
      <c r="A6" s="66">
        <v>45077</v>
      </c>
      <c r="B6" s="21"/>
      <c r="C6" s="21">
        <v>0</v>
      </c>
      <c r="D6" s="14">
        <v>0</v>
      </c>
      <c r="F6" s="66">
        <v>45077</v>
      </c>
      <c r="G6" s="67">
        <v>148.52150053482401</v>
      </c>
      <c r="H6" s="68">
        <f t="shared" si="0"/>
        <v>148.52150053482401</v>
      </c>
      <c r="I6" s="77">
        <v>0</v>
      </c>
      <c r="J6" s="77">
        <v>1.1000000000000001</v>
      </c>
      <c r="K6" s="94">
        <f t="shared" si="1"/>
        <v>163.37365058830699</v>
      </c>
      <c r="N6" s="402"/>
      <c r="O6" s="403"/>
      <c r="P6" s="403"/>
      <c r="Q6" s="403"/>
      <c r="R6" s="403"/>
      <c r="S6" s="403"/>
      <c r="T6" s="404"/>
    </row>
    <row r="7" spans="1:20">
      <c r="A7" s="66">
        <v>45107</v>
      </c>
      <c r="B7" s="21"/>
      <c r="C7" s="21">
        <v>0</v>
      </c>
      <c r="D7" s="14">
        <v>0</v>
      </c>
      <c r="F7" s="66">
        <v>45107</v>
      </c>
      <c r="G7" s="67">
        <v>148.31824748891401</v>
      </c>
      <c r="H7" s="68">
        <f t="shared" si="0"/>
        <v>148.31824748891401</v>
      </c>
      <c r="I7" s="77">
        <v>0</v>
      </c>
      <c r="J7" s="77">
        <v>1.1000000000000001</v>
      </c>
      <c r="K7" s="94">
        <f t="shared" si="1"/>
        <v>163.15007223780501</v>
      </c>
    </row>
    <row r="8" spans="1:20">
      <c r="A8" s="66">
        <v>45138</v>
      </c>
      <c r="B8" s="21"/>
      <c r="C8" s="21">
        <v>0</v>
      </c>
      <c r="D8" s="14">
        <v>0</v>
      </c>
      <c r="F8" s="66">
        <v>45138</v>
      </c>
      <c r="G8" s="67">
        <v>165.47644478779301</v>
      </c>
      <c r="H8" s="68">
        <f t="shared" si="0"/>
        <v>165.47644478779301</v>
      </c>
      <c r="I8" s="77">
        <v>0</v>
      </c>
      <c r="J8" s="77">
        <v>1.1000000000000001</v>
      </c>
      <c r="K8" s="94">
        <f t="shared" si="1"/>
        <v>182.02408926657299</v>
      </c>
    </row>
    <row r="9" spans="1:20">
      <c r="A9" s="66">
        <v>45169</v>
      </c>
      <c r="B9" s="21"/>
      <c r="C9" s="21">
        <v>0</v>
      </c>
      <c r="D9" s="14">
        <v>0</v>
      </c>
      <c r="F9" s="66">
        <v>45169</v>
      </c>
      <c r="G9" s="67">
        <v>220.54940467424601</v>
      </c>
      <c r="H9" s="68">
        <f t="shared" si="0"/>
        <v>220.54940467424601</v>
      </c>
      <c r="I9" s="77">
        <v>0</v>
      </c>
      <c r="J9" s="77">
        <v>1.1000000000000001</v>
      </c>
      <c r="K9" s="94">
        <f t="shared" si="1"/>
        <v>242.60434514167099</v>
      </c>
    </row>
    <row r="10" spans="1:20">
      <c r="A10" s="66">
        <v>45199</v>
      </c>
      <c r="B10" s="21"/>
      <c r="C10" s="21">
        <v>0</v>
      </c>
      <c r="D10" s="14">
        <v>0</v>
      </c>
      <c r="F10" s="66">
        <v>45199</v>
      </c>
      <c r="G10" s="67">
        <v>198.778152059099</v>
      </c>
      <c r="H10" s="68">
        <f t="shared" si="0"/>
        <v>198.778152059099</v>
      </c>
      <c r="I10" s="77">
        <v>0</v>
      </c>
      <c r="J10" s="77">
        <v>1.1000000000000001</v>
      </c>
      <c r="K10" s="94">
        <f t="shared" si="1"/>
        <v>218.655967265009</v>
      </c>
    </row>
    <row r="11" spans="1:20">
      <c r="A11" s="66">
        <v>45230</v>
      </c>
      <c r="B11" s="21"/>
      <c r="C11" s="21">
        <v>0</v>
      </c>
      <c r="D11" s="14">
        <v>0</v>
      </c>
      <c r="F11" s="66">
        <v>45230</v>
      </c>
      <c r="G11" s="67">
        <v>234.25518120826499</v>
      </c>
      <c r="H11" s="68">
        <f t="shared" si="0"/>
        <v>234.25518120826499</v>
      </c>
      <c r="I11" s="77">
        <v>0</v>
      </c>
      <c r="J11" s="77">
        <v>1.1000000000000001</v>
      </c>
      <c r="K11" s="94">
        <f t="shared" si="1"/>
        <v>257.68069932909202</v>
      </c>
    </row>
    <row r="12" spans="1:20">
      <c r="A12" s="66">
        <v>45260</v>
      </c>
      <c r="B12" s="21"/>
      <c r="C12" s="21">
        <v>0</v>
      </c>
      <c r="D12" s="14">
        <v>0</v>
      </c>
      <c r="F12" s="66">
        <v>45260</v>
      </c>
      <c r="G12" s="67">
        <v>254.41836430064399</v>
      </c>
      <c r="H12" s="68">
        <f t="shared" si="0"/>
        <v>254.41836430064399</v>
      </c>
      <c r="I12" s="77">
        <v>0</v>
      </c>
      <c r="J12" s="77">
        <v>1.1000000000000001</v>
      </c>
      <c r="K12" s="94">
        <f t="shared" si="1"/>
        <v>279.86020073070802</v>
      </c>
    </row>
    <row r="13" spans="1:20">
      <c r="A13" s="66">
        <v>45291</v>
      </c>
      <c r="B13" s="21"/>
      <c r="C13" s="21">
        <v>0</v>
      </c>
      <c r="D13" s="14">
        <v>0</v>
      </c>
      <c r="F13" s="66">
        <v>45291</v>
      </c>
      <c r="G13" s="67">
        <v>259.808059864401</v>
      </c>
      <c r="H13" s="68">
        <f t="shared" si="0"/>
        <v>259.808059864401</v>
      </c>
      <c r="I13" s="77">
        <v>0</v>
      </c>
      <c r="J13" s="77">
        <v>1.1000000000000001</v>
      </c>
      <c r="K13" s="94">
        <f t="shared" si="1"/>
        <v>285.78886585084098</v>
      </c>
    </row>
    <row r="14" spans="1:20">
      <c r="A14" s="66">
        <v>45322</v>
      </c>
      <c r="B14" s="21"/>
      <c r="C14" s="21">
        <v>0</v>
      </c>
      <c r="D14" s="14">
        <v>0</v>
      </c>
      <c r="F14" s="66">
        <v>45322</v>
      </c>
      <c r="G14" s="67">
        <v>255.821608146747</v>
      </c>
      <c r="H14" s="68">
        <f t="shared" si="0"/>
        <v>255.821608146747</v>
      </c>
      <c r="I14" s="77">
        <v>0</v>
      </c>
      <c r="J14" s="77">
        <v>1.1000000000000001</v>
      </c>
      <c r="K14" s="94">
        <f t="shared" si="1"/>
        <v>281.40376896142197</v>
      </c>
    </row>
    <row r="15" spans="1:20">
      <c r="A15" s="69">
        <v>45351</v>
      </c>
      <c r="B15" s="70"/>
      <c r="C15" s="70">
        <v>0</v>
      </c>
      <c r="D15" s="71">
        <v>0</v>
      </c>
      <c r="F15" s="69">
        <v>45351</v>
      </c>
      <c r="G15" s="70">
        <v>313.41898395019501</v>
      </c>
      <c r="H15" s="72">
        <f t="shared" si="0"/>
        <v>313.41898395019501</v>
      </c>
      <c r="I15" s="80">
        <v>0</v>
      </c>
      <c r="J15" s="80">
        <v>1.1000000000000001</v>
      </c>
      <c r="K15" s="95">
        <f t="shared" si="1"/>
        <v>344.76088234521501</v>
      </c>
    </row>
    <row r="16" spans="1:20">
      <c r="A16" s="73">
        <v>45382</v>
      </c>
      <c r="B16" s="74"/>
      <c r="C16" s="74">
        <v>0</v>
      </c>
      <c r="D16" s="75">
        <v>0</v>
      </c>
      <c r="F16" s="73">
        <v>45382</v>
      </c>
      <c r="G16" s="74">
        <v>333.49591807997098</v>
      </c>
      <c r="H16" s="65">
        <f t="shared" ref="H16:H27" si="2">G16</f>
        <v>333.49591807997098</v>
      </c>
      <c r="I16" s="74">
        <v>0</v>
      </c>
      <c r="J16" s="74">
        <v>1.1000000000000001</v>
      </c>
      <c r="K16" s="93">
        <f t="shared" si="1"/>
        <v>366.845509887969</v>
      </c>
    </row>
    <row r="17" spans="1:20" ht="14.5" customHeight="1">
      <c r="A17" s="76">
        <v>45412</v>
      </c>
      <c r="B17" s="77"/>
      <c r="C17" s="77">
        <v>0</v>
      </c>
      <c r="D17" s="78">
        <v>0</v>
      </c>
      <c r="F17" s="76">
        <v>45412</v>
      </c>
      <c r="G17" s="43">
        <v>305.680513563072</v>
      </c>
      <c r="H17" s="68">
        <f t="shared" si="2"/>
        <v>305.680513563072</v>
      </c>
      <c r="I17" s="77">
        <v>0</v>
      </c>
      <c r="J17" s="77">
        <v>1.1000000000000001</v>
      </c>
      <c r="K17" s="94">
        <f t="shared" ref="K17:K27" si="3">H17*J17</f>
        <v>336.24856491937902</v>
      </c>
      <c r="N17" s="399" t="s">
        <v>242</v>
      </c>
      <c r="O17" s="400"/>
      <c r="P17" s="400"/>
      <c r="Q17" s="400"/>
      <c r="R17" s="400"/>
      <c r="S17" s="400"/>
      <c r="T17" s="401"/>
    </row>
    <row r="18" spans="1:20">
      <c r="A18" s="76">
        <v>45443</v>
      </c>
      <c r="B18" s="77"/>
      <c r="C18" s="77">
        <v>0</v>
      </c>
      <c r="D18" s="78">
        <v>0</v>
      </c>
      <c r="F18" s="76">
        <v>45443</v>
      </c>
      <c r="G18" s="43">
        <v>237.09528391997699</v>
      </c>
      <c r="H18" s="68">
        <f t="shared" si="2"/>
        <v>237.09528391997699</v>
      </c>
      <c r="I18" s="77">
        <v>0</v>
      </c>
      <c r="J18" s="77">
        <v>1.1000000000000001</v>
      </c>
      <c r="K18" s="94">
        <f t="shared" si="3"/>
        <v>260.80481231197501</v>
      </c>
      <c r="N18" s="402"/>
      <c r="O18" s="403"/>
      <c r="P18" s="403"/>
      <c r="Q18" s="403"/>
      <c r="R18" s="403"/>
      <c r="S18" s="403"/>
      <c r="T18" s="404"/>
    </row>
    <row r="19" spans="1:20">
      <c r="A19" s="76">
        <v>45473</v>
      </c>
      <c r="B19" s="77"/>
      <c r="C19" s="77">
        <v>0</v>
      </c>
      <c r="D19" s="78">
        <v>0</v>
      </c>
      <c r="F19" s="76">
        <v>45473</v>
      </c>
      <c r="G19" s="43">
        <v>253.02203635628999</v>
      </c>
      <c r="H19" s="68">
        <f t="shared" si="2"/>
        <v>253.02203635628999</v>
      </c>
      <c r="I19" s="77">
        <v>0</v>
      </c>
      <c r="J19" s="77">
        <v>1.1000000000000001</v>
      </c>
      <c r="K19" s="94">
        <f t="shared" si="3"/>
        <v>278.324239991919</v>
      </c>
    </row>
    <row r="20" spans="1:20">
      <c r="A20" s="76">
        <v>45504</v>
      </c>
      <c r="B20" s="77"/>
      <c r="C20" s="77">
        <v>0</v>
      </c>
      <c r="D20" s="78">
        <v>0</v>
      </c>
      <c r="F20" s="76">
        <v>45504</v>
      </c>
      <c r="G20" s="43">
        <v>273.87866867137899</v>
      </c>
      <c r="H20" s="68">
        <f t="shared" si="2"/>
        <v>273.87866867137899</v>
      </c>
      <c r="I20" s="77">
        <v>0</v>
      </c>
      <c r="J20" s="77">
        <v>1.1000000000000001</v>
      </c>
      <c r="K20" s="94">
        <f t="shared" si="3"/>
        <v>301.26653553851702</v>
      </c>
    </row>
    <row r="21" spans="1:20">
      <c r="A21" s="76">
        <v>45535</v>
      </c>
      <c r="B21" s="77"/>
      <c r="C21" s="77">
        <v>0</v>
      </c>
      <c r="D21" s="78">
        <v>0</v>
      </c>
      <c r="F21" s="76">
        <v>45535</v>
      </c>
      <c r="G21" s="43">
        <v>265.00487713365101</v>
      </c>
      <c r="H21" s="68">
        <f t="shared" si="2"/>
        <v>265.00487713365101</v>
      </c>
      <c r="I21" s="77">
        <v>0</v>
      </c>
      <c r="J21" s="77">
        <v>1.1000000000000001</v>
      </c>
      <c r="K21" s="94">
        <f t="shared" si="3"/>
        <v>291.50536484701598</v>
      </c>
    </row>
    <row r="22" spans="1:20">
      <c r="A22" s="76">
        <v>45565</v>
      </c>
      <c r="B22" s="77"/>
      <c r="C22" s="77">
        <v>0</v>
      </c>
      <c r="D22" s="78">
        <v>0</v>
      </c>
      <c r="F22" s="76">
        <v>45565</v>
      </c>
      <c r="G22" s="43">
        <v>261.42099123001901</v>
      </c>
      <c r="H22" s="68">
        <f t="shared" si="2"/>
        <v>261.42099123001901</v>
      </c>
      <c r="I22" s="77">
        <v>0</v>
      </c>
      <c r="J22" s="77">
        <v>1.1000000000000001</v>
      </c>
      <c r="K22" s="94">
        <f t="shared" si="3"/>
        <v>287.56309035302098</v>
      </c>
    </row>
    <row r="23" spans="1:20">
      <c r="A23" s="76">
        <v>45596</v>
      </c>
      <c r="B23" s="77"/>
      <c r="C23" s="77">
        <v>0</v>
      </c>
      <c r="D23" s="78">
        <v>0</v>
      </c>
      <c r="F23" s="76">
        <v>45596</v>
      </c>
      <c r="G23" s="43">
        <v>270.44390887618903</v>
      </c>
      <c r="H23" s="68">
        <f t="shared" si="2"/>
        <v>270.44390887618903</v>
      </c>
      <c r="I23" s="77">
        <v>0</v>
      </c>
      <c r="J23" s="77">
        <v>1.1000000000000001</v>
      </c>
      <c r="K23" s="94">
        <f t="shared" si="3"/>
        <v>297.48829976380699</v>
      </c>
    </row>
    <row r="24" spans="1:20">
      <c r="A24" s="76">
        <v>45626</v>
      </c>
      <c r="B24" s="77"/>
      <c r="C24" s="77">
        <v>0</v>
      </c>
      <c r="D24" s="78">
        <v>0</v>
      </c>
      <c r="F24" s="76">
        <v>45626</v>
      </c>
      <c r="G24" s="43">
        <v>283.62615702347102</v>
      </c>
      <c r="H24" s="68">
        <f t="shared" si="2"/>
        <v>283.62615702347102</v>
      </c>
      <c r="I24" s="77">
        <v>0</v>
      </c>
      <c r="J24" s="77">
        <v>1.1000000000000001</v>
      </c>
      <c r="K24" s="94">
        <f t="shared" si="3"/>
        <v>311.98877272581802</v>
      </c>
    </row>
    <row r="25" spans="1:20">
      <c r="A25" s="76">
        <v>45657</v>
      </c>
      <c r="B25" s="77"/>
      <c r="C25" s="77">
        <v>0</v>
      </c>
      <c r="D25" s="78">
        <v>0</v>
      </c>
      <c r="F25" s="76">
        <v>45657</v>
      </c>
      <c r="G25" s="43">
        <v>285.224496811942</v>
      </c>
      <c r="H25" s="68">
        <f t="shared" si="2"/>
        <v>285.224496811942</v>
      </c>
      <c r="I25" s="77">
        <v>0</v>
      </c>
      <c r="J25" s="77">
        <v>1.1000000000000001</v>
      </c>
      <c r="K25" s="94">
        <f t="shared" si="3"/>
        <v>313.74694649313602</v>
      </c>
    </row>
    <row r="26" spans="1:20">
      <c r="A26" s="76">
        <v>45688</v>
      </c>
      <c r="B26" s="77"/>
      <c r="C26" s="77">
        <v>0</v>
      </c>
      <c r="D26" s="78">
        <v>0</v>
      </c>
      <c r="F26" s="76">
        <v>45688</v>
      </c>
      <c r="G26" s="43">
        <v>276.64816336819399</v>
      </c>
      <c r="H26" s="68">
        <f t="shared" si="2"/>
        <v>276.64816336819399</v>
      </c>
      <c r="I26" s="77">
        <v>0</v>
      </c>
      <c r="J26" s="77">
        <v>1.1000000000000001</v>
      </c>
      <c r="K26" s="94">
        <f t="shared" si="3"/>
        <v>304.31297970501299</v>
      </c>
    </row>
    <row r="27" spans="1:20">
      <c r="A27" s="79">
        <v>45716</v>
      </c>
      <c r="B27" s="80"/>
      <c r="C27" s="80">
        <v>0</v>
      </c>
      <c r="D27" s="81">
        <v>0</v>
      </c>
      <c r="F27" s="79">
        <v>45716</v>
      </c>
      <c r="G27" s="80">
        <v>280.38311696462</v>
      </c>
      <c r="H27" s="72">
        <f t="shared" si="2"/>
        <v>280.38311696462</v>
      </c>
      <c r="I27" s="80">
        <v>0</v>
      </c>
      <c r="J27" s="80">
        <v>1.1000000000000001</v>
      </c>
      <c r="K27" s="95">
        <f t="shared" si="3"/>
        <v>308.42142866108202</v>
      </c>
    </row>
    <row r="28" spans="1:20">
      <c r="A28" s="82"/>
    </row>
    <row r="29" spans="1:20">
      <c r="A29" s="82"/>
      <c r="B29" t="s">
        <v>243</v>
      </c>
      <c r="C29" s="83">
        <f>AVERAGE(K4:K15)</f>
        <v>236.11804582570599</v>
      </c>
    </row>
    <row r="30" spans="1:20">
      <c r="A30" s="82"/>
      <c r="B30" t="s">
        <v>122</v>
      </c>
      <c r="C30" s="83">
        <f>AVERAGE(K16:K27)</f>
        <v>304.87637876655401</v>
      </c>
      <c r="D30" s="84">
        <f>(C30-C29)/C29</f>
        <v>0.29120321024342199</v>
      </c>
    </row>
    <row r="31" spans="1:20">
      <c r="A31" s="82"/>
    </row>
    <row r="32" spans="1:20" ht="14.5">
      <c r="A32" s="30" t="s">
        <v>130</v>
      </c>
      <c r="B32" s="29" t="s">
        <v>131</v>
      </c>
      <c r="C32" s="29">
        <v>1620.04</v>
      </c>
      <c r="D32" s="85">
        <v>45716</v>
      </c>
      <c r="E32" s="29"/>
      <c r="F32" s="29"/>
      <c r="G32" s="29"/>
      <c r="K32" s="44" t="s">
        <v>124</v>
      </c>
      <c r="L32" s="44"/>
      <c r="M32" s="44"/>
      <c r="N32" s="39">
        <v>44984</v>
      </c>
    </row>
    <row r="33" spans="1:17">
      <c r="A33" s="32">
        <f>L38</f>
        <v>8.2314977499999997E-2</v>
      </c>
      <c r="B33" s="29" t="s">
        <v>133</v>
      </c>
      <c r="C33" s="86">
        <f>A33*$C$32</f>
        <v>133.3535561491</v>
      </c>
      <c r="D33" s="29" t="s">
        <v>231</v>
      </c>
      <c r="E33" s="29"/>
      <c r="F33" s="29"/>
      <c r="G33" s="29"/>
    </row>
    <row r="34" spans="1:17">
      <c r="A34" s="32">
        <f>M38</f>
        <v>0.21</v>
      </c>
      <c r="B34" s="29" t="s">
        <v>135</v>
      </c>
      <c r="C34" s="86">
        <f>A34*$C$32</f>
        <v>340.20839999999998</v>
      </c>
      <c r="D34" s="29" t="s">
        <v>231</v>
      </c>
      <c r="E34" s="29"/>
      <c r="F34" s="29"/>
      <c r="G34" s="29"/>
      <c r="K34" s="45" t="s">
        <v>125</v>
      </c>
      <c r="L34" s="45" t="s">
        <v>126</v>
      </c>
      <c r="M34" s="45" t="s">
        <v>127</v>
      </c>
      <c r="N34" s="45" t="s">
        <v>128</v>
      </c>
      <c r="O34" s="45" t="s">
        <v>129</v>
      </c>
    </row>
    <row r="35" spans="1:17">
      <c r="A35" s="29"/>
      <c r="B35" s="29" t="s">
        <v>137</v>
      </c>
      <c r="C35" s="87">
        <v>0.23200000000000001</v>
      </c>
      <c r="D35" s="88"/>
      <c r="E35" s="88"/>
      <c r="F35" s="29"/>
      <c r="G35" s="29"/>
      <c r="K35" s="47">
        <v>0</v>
      </c>
      <c r="N35" s="56">
        <f>N32</f>
        <v>44984</v>
      </c>
      <c r="O35" s="57"/>
      <c r="P35" s="57" t="s">
        <v>7</v>
      </c>
      <c r="Q35" s="57"/>
    </row>
    <row r="36" spans="1:17">
      <c r="A36" s="89">
        <f>C36/C32</f>
        <v>0.14453041831850699</v>
      </c>
      <c r="B36" s="29" t="s">
        <v>208</v>
      </c>
      <c r="C36" s="90">
        <f>C30*(1-C35)</f>
        <v>234.14505889271399</v>
      </c>
      <c r="D36" s="29" t="s">
        <v>231</v>
      </c>
      <c r="E36" s="29"/>
      <c r="F36" s="29"/>
      <c r="G36" s="29"/>
      <c r="K36" s="47">
        <v>1</v>
      </c>
      <c r="L36" s="50">
        <v>7.9899999999999999E-2</v>
      </c>
      <c r="M36" s="50">
        <v>0.21</v>
      </c>
      <c r="N36" s="25">
        <v>45350</v>
      </c>
      <c r="O36" s="60">
        <v>0</v>
      </c>
    </row>
    <row r="37" spans="1:17">
      <c r="A37" s="82"/>
      <c r="C37" s="37"/>
      <c r="K37" s="47">
        <v>2</v>
      </c>
      <c r="L37" s="50">
        <f t="shared" ref="L37:L50" si="4">L36*(1+O37)</f>
        <v>8.1098500000000004E-2</v>
      </c>
      <c r="M37" s="50">
        <f t="shared" ref="M37:M50" si="5">M36</f>
        <v>0.21</v>
      </c>
      <c r="N37" s="25">
        <f t="shared" ref="N37:N50" si="6">EDATE(N36,12)</f>
        <v>45716</v>
      </c>
      <c r="O37" s="60">
        <v>1.4999999999999999E-2</v>
      </c>
    </row>
    <row r="38" spans="1:17">
      <c r="A38" s="82"/>
      <c r="C38" s="91"/>
      <c r="K38" s="48">
        <v>3</v>
      </c>
      <c r="L38" s="49">
        <f t="shared" si="4"/>
        <v>8.2314977499999997E-2</v>
      </c>
      <c r="M38" s="49">
        <f t="shared" si="5"/>
        <v>0.21</v>
      </c>
      <c r="N38" s="58">
        <f t="shared" si="6"/>
        <v>46081</v>
      </c>
      <c r="O38" s="59">
        <f t="shared" ref="O38:O50" si="7">O37</f>
        <v>1.4999999999999999E-2</v>
      </c>
    </row>
    <row r="39" spans="1:17">
      <c r="A39" s="82"/>
      <c r="C39" s="92"/>
      <c r="K39" s="47">
        <v>4</v>
      </c>
      <c r="L39" s="50">
        <f t="shared" si="4"/>
        <v>8.3549702162500003E-2</v>
      </c>
      <c r="M39" s="50">
        <f t="shared" si="5"/>
        <v>0.21</v>
      </c>
      <c r="N39" s="25">
        <f t="shared" si="6"/>
        <v>46446</v>
      </c>
      <c r="O39" s="60">
        <f t="shared" si="7"/>
        <v>1.4999999999999999E-2</v>
      </c>
    </row>
    <row r="40" spans="1:17">
      <c r="A40" s="82"/>
      <c r="C40" s="37"/>
      <c r="K40" s="47">
        <v>5</v>
      </c>
      <c r="L40" s="50">
        <f t="shared" si="4"/>
        <v>8.48029476949375E-2</v>
      </c>
      <c r="M40" s="50">
        <f t="shared" si="5"/>
        <v>0.21</v>
      </c>
      <c r="N40" s="25">
        <f t="shared" si="6"/>
        <v>46811</v>
      </c>
      <c r="O40" s="60">
        <f t="shared" si="7"/>
        <v>1.4999999999999999E-2</v>
      </c>
    </row>
    <row r="41" spans="1:17">
      <c r="A41" s="82"/>
      <c r="K41" s="47">
        <v>6</v>
      </c>
      <c r="L41" s="50">
        <f t="shared" si="4"/>
        <v>8.6074991910361498E-2</v>
      </c>
      <c r="M41" s="50">
        <f t="shared" si="5"/>
        <v>0.21</v>
      </c>
      <c r="N41" s="25">
        <f t="shared" si="6"/>
        <v>47177</v>
      </c>
      <c r="O41" s="60">
        <f t="shared" si="7"/>
        <v>1.4999999999999999E-2</v>
      </c>
    </row>
    <row r="42" spans="1:17">
      <c r="A42" s="82"/>
      <c r="K42" s="47">
        <v>7</v>
      </c>
      <c r="L42" s="50">
        <f t="shared" si="4"/>
        <v>8.7366116789016901E-2</v>
      </c>
      <c r="M42" s="50">
        <f t="shared" si="5"/>
        <v>0.21</v>
      </c>
      <c r="N42" s="25">
        <f t="shared" si="6"/>
        <v>47542</v>
      </c>
      <c r="O42" s="60">
        <f t="shared" si="7"/>
        <v>1.4999999999999999E-2</v>
      </c>
    </row>
    <row r="43" spans="1:17">
      <c r="A43" s="82"/>
      <c r="K43" s="47">
        <v>8</v>
      </c>
      <c r="L43" s="50">
        <f t="shared" si="4"/>
        <v>8.86766085408522E-2</v>
      </c>
      <c r="M43" s="50">
        <f t="shared" si="5"/>
        <v>0.21</v>
      </c>
      <c r="N43" s="25">
        <f t="shared" si="6"/>
        <v>47907</v>
      </c>
      <c r="O43" s="60">
        <f t="shared" si="7"/>
        <v>1.4999999999999999E-2</v>
      </c>
    </row>
    <row r="44" spans="1:17">
      <c r="A44" s="82"/>
      <c r="K44" s="47">
        <v>9</v>
      </c>
      <c r="L44" s="50">
        <f t="shared" si="4"/>
        <v>9.0006757668965001E-2</v>
      </c>
      <c r="M44" s="50">
        <f t="shared" si="5"/>
        <v>0.21</v>
      </c>
      <c r="N44" s="25">
        <f t="shared" si="6"/>
        <v>48272</v>
      </c>
      <c r="O44" s="60">
        <f t="shared" si="7"/>
        <v>1.4999999999999999E-2</v>
      </c>
    </row>
    <row r="45" spans="1:17">
      <c r="A45" s="82"/>
      <c r="K45" s="47">
        <v>10</v>
      </c>
      <c r="L45" s="50">
        <f t="shared" si="4"/>
        <v>9.1356859033999399E-2</v>
      </c>
      <c r="M45" s="50">
        <f t="shared" si="5"/>
        <v>0.21</v>
      </c>
      <c r="N45" s="25">
        <f t="shared" si="6"/>
        <v>48638</v>
      </c>
      <c r="O45" s="60">
        <f t="shared" si="7"/>
        <v>1.4999999999999999E-2</v>
      </c>
    </row>
    <row r="46" spans="1:17">
      <c r="A46" s="82"/>
      <c r="K46" s="47">
        <v>11</v>
      </c>
      <c r="L46" s="50">
        <f t="shared" si="4"/>
        <v>9.2727211919509403E-2</v>
      </c>
      <c r="M46" s="50">
        <f t="shared" si="5"/>
        <v>0.21</v>
      </c>
      <c r="N46" s="25">
        <f t="shared" si="6"/>
        <v>49003</v>
      </c>
      <c r="O46" s="60">
        <f t="shared" si="7"/>
        <v>1.4999999999999999E-2</v>
      </c>
    </row>
    <row r="47" spans="1:17">
      <c r="A47" s="82"/>
      <c r="K47" s="47">
        <v>12</v>
      </c>
      <c r="L47" s="50">
        <f t="shared" si="4"/>
        <v>9.4118120098302005E-2</v>
      </c>
      <c r="M47" s="50">
        <f t="shared" si="5"/>
        <v>0.21</v>
      </c>
      <c r="N47" s="25">
        <f t="shared" si="6"/>
        <v>49368</v>
      </c>
      <c r="O47" s="60">
        <f t="shared" si="7"/>
        <v>1.4999999999999999E-2</v>
      </c>
    </row>
    <row r="48" spans="1:17">
      <c r="K48" s="47">
        <v>13</v>
      </c>
      <c r="L48" s="50">
        <f t="shared" si="4"/>
        <v>9.5529891899776606E-2</v>
      </c>
      <c r="M48" s="50">
        <f t="shared" si="5"/>
        <v>0.21</v>
      </c>
      <c r="N48" s="25">
        <f t="shared" si="6"/>
        <v>49733</v>
      </c>
      <c r="O48" s="60">
        <f t="shared" si="7"/>
        <v>1.4999999999999999E-2</v>
      </c>
    </row>
    <row r="49" spans="1:16">
      <c r="K49" s="47">
        <v>14</v>
      </c>
      <c r="L49" s="50">
        <f t="shared" si="4"/>
        <v>9.6962840278273205E-2</v>
      </c>
      <c r="M49" s="50">
        <f t="shared" si="5"/>
        <v>0.21</v>
      </c>
      <c r="N49" s="25">
        <f t="shared" si="6"/>
        <v>50099</v>
      </c>
      <c r="O49" s="60">
        <f t="shared" si="7"/>
        <v>1.4999999999999999E-2</v>
      </c>
    </row>
    <row r="50" spans="1:16">
      <c r="K50" s="47">
        <v>15</v>
      </c>
      <c r="L50" s="50">
        <f t="shared" si="4"/>
        <v>9.8417282882447304E-2</v>
      </c>
      <c r="M50" s="50">
        <f t="shared" si="5"/>
        <v>0.21</v>
      </c>
      <c r="N50" s="25">
        <f t="shared" si="6"/>
        <v>50464</v>
      </c>
      <c r="O50" s="60">
        <f t="shared" si="7"/>
        <v>1.4999999999999999E-2</v>
      </c>
    </row>
    <row r="52" spans="1:16">
      <c r="A52" s="384" t="s">
        <v>247</v>
      </c>
      <c r="B52" s="384"/>
      <c r="C52" s="384"/>
      <c r="D52" s="384"/>
      <c r="E52" s="384"/>
      <c r="F52" s="384"/>
      <c r="G52" s="384" t="s">
        <v>248</v>
      </c>
      <c r="H52" s="384"/>
      <c r="I52" s="384"/>
      <c r="J52" s="384"/>
      <c r="K52" s="384"/>
      <c r="L52" s="384"/>
    </row>
    <row r="54" spans="1:16">
      <c r="G54" s="405" t="s">
        <v>249</v>
      </c>
      <c r="H54" s="405"/>
      <c r="I54" s="405"/>
      <c r="J54" s="405"/>
      <c r="K54" s="405"/>
      <c r="L54" s="405"/>
      <c r="M54" s="405"/>
      <c r="N54" s="405"/>
      <c r="O54" s="405"/>
      <c r="P54" s="405"/>
    </row>
  </sheetData>
  <mergeCells count="7">
    <mergeCell ref="A1:D1"/>
    <mergeCell ref="F1:K1"/>
    <mergeCell ref="A52:F52"/>
    <mergeCell ref="G52:L52"/>
    <mergeCell ref="G54:P54"/>
    <mergeCell ref="N5:T6"/>
    <mergeCell ref="N17:T18"/>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2E89F0223E490247B3F3F408E8112875" ma:contentTypeVersion="28" ma:contentTypeDescription="Create a new document." ma:contentTypeScope="" ma:versionID="cf05d84ddf6183db033aaac6744d27d2">
  <xsd:schema xmlns:xsd="http://www.w3.org/2001/XMLSchema" xmlns:xs="http://www.w3.org/2001/XMLSchema" xmlns:p="http://schemas.microsoft.com/office/2006/metadata/properties" xmlns:ns1="http://schemas.microsoft.com/sharepoint/v3" xmlns:ns2="949eb468-4dab-432e-8c5a-055ce9681ad6" xmlns:ns3="9dc9d7a5-147a-4205-bb03-f4e77c25721f" targetNamespace="http://schemas.microsoft.com/office/2006/metadata/properties" ma:root="true" ma:fieldsID="672ef35b9b312d7dbca9e4c44025546e" ns1:_="" ns2:_="" ns3:_="">
    <xsd:import namespace="http://schemas.microsoft.com/sharepoint/v3"/>
    <xsd:import namespace="949eb468-4dab-432e-8c5a-055ce9681ad6"/>
    <xsd:import namespace="9dc9d7a5-147a-4205-bb03-f4e77c25721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2:MediaServiceAutoTags" minOccurs="0"/>
                <xsd:element ref="ns2:MediaServiceOCR" minOccurs="0"/>
                <xsd:element ref="ns2:MediaServiceGenerationTime" minOccurs="0"/>
                <xsd:element ref="ns2:MediaServiceEventHashCode" minOccurs="0"/>
                <xsd:element ref="ns2:LastEdited" minOccurs="0"/>
                <xsd:element ref="ns3:SharedWithUsers" minOccurs="0"/>
                <xsd:element ref="ns3:SharedWithDetails" minOccurs="0"/>
                <xsd:element ref="ns2:MediaServiceDateTaken" minOccurs="0"/>
                <xsd:element ref="ns2:MediaLengthInSeconds" minOccurs="0"/>
                <xsd:element ref="ns2:MediaServiceLocation" minOccurs="0"/>
                <xsd:element ref="ns2:Date" minOccurs="0"/>
                <xsd:element ref="ns2:lcf76f155ced4ddcb4097134ff3c332f" minOccurs="0"/>
                <xsd:element ref="ns3:TaxCatchAll" minOccurs="0"/>
                <xsd:element ref="ns2:_Flow_SignoffStatus" minOccurs="0"/>
                <xsd:element ref="ns2:MediaServiceSearchProperties" minOccurs="0"/>
                <xsd:element ref="ns2:MediaServiceObjectDetectorVersions" minOccurs="0"/>
                <xsd:element ref="ns2:MediaServiceBillingMetadata" minOccurs="0"/>
                <xsd:element ref="ns1:PublishingStartDate" minOccurs="0"/>
                <xsd:element ref="ns1:PublishingExpirationDate" minOccurs="0"/>
                <xsd:element ref="ns2:EOI" minOccurs="0"/>
                <xsd:element ref="ns2:RFP" minOccurs="0"/>
                <xsd:element ref="ns2:TranslatedLang"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PublishingStartDate" ma:index="30" nillable="true" ma:displayName="Scheduling Start Date" ma:description="Scheduling Start Date is a site column created by the Publishing feature. It is used to specify the date and time on which this page will first appear to site visitors." ma:internalName="PublishingStartDate">
      <xsd:simpleType>
        <xsd:restriction base="dms:Unknown"/>
      </xsd:simpleType>
    </xsd:element>
    <xsd:element name="PublishingExpirationDate" ma:index="31" nillable="true" ma:displayName="Scheduling End Date" ma:description="Scheduling End Date is a site column created by the Publishing feature. It is used to specify the date and time on which this page will no longer appear to site visitors." ma:internalName="PublishingExpirationDate">
      <xsd:simpleType>
        <xsd:restriction base="dms:Unknown"/>
      </xsd:simpleType>
    </xsd:element>
  </xsd:schema>
  <xsd:schema xmlns:xsd="http://www.w3.org/2001/XMLSchema" xmlns:xs="http://www.w3.org/2001/XMLSchema" xmlns:dms="http://schemas.microsoft.com/office/2006/documentManagement/types" xmlns:pc="http://schemas.microsoft.com/office/infopath/2007/PartnerControls" targetNamespace="949eb468-4dab-432e-8c5a-055ce9681ad6"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2" nillable="true" ma:displayName="Tags" ma:internalName="MediaServiceAutoTags" ma:readOnly="true">
      <xsd:simpleType>
        <xsd:restriction base="dms:Text"/>
      </xsd:simpleType>
    </xsd:element>
    <xsd:element name="MediaServiceOCR" ma:index="13" nillable="true" ma:displayName="Extracted Text" ma:internalName="MediaServiceOCR" ma:readOnly="true">
      <xsd:simpleType>
        <xsd:restriction base="dms:Note">
          <xsd:maxLength value="255"/>
        </xsd:restriction>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LastEdited" ma:index="16" nillable="true" ma:displayName="Last Edited" ma:format="DateTime" ma:internalName="LastEdited">
      <xsd:simpleType>
        <xsd:restriction base="dms:DateTime"/>
      </xsd:simpleType>
    </xsd:element>
    <xsd:element name="MediaServiceDateTaken" ma:index="19" nillable="true" ma:displayName="MediaServiceDateTaken" ma:hidden="true" ma:internalName="MediaServiceDateTaken" ma:readOnly="true">
      <xsd:simpleType>
        <xsd:restriction base="dms:Text"/>
      </xsd:simpleType>
    </xsd:element>
    <xsd:element name="MediaLengthInSeconds" ma:index="20" nillable="true" ma:displayName="MediaLengthInSeconds" ma:hidden="true" ma:internalName="MediaLengthInSeconds" ma:readOnly="true">
      <xsd:simpleType>
        <xsd:restriction base="dms:Unknown"/>
      </xsd:simpleType>
    </xsd:element>
    <xsd:element name="MediaServiceLocation" ma:index="21" nillable="true" ma:displayName="Location" ma:internalName="MediaServiceLocation" ma:readOnly="true">
      <xsd:simpleType>
        <xsd:restriction base="dms:Text"/>
      </xsd:simpleType>
    </xsd:element>
    <xsd:element name="Date" ma:index="22" nillable="true" ma:displayName="Date" ma:format="DateOnly" ma:internalName="Date">
      <xsd:simpleType>
        <xsd:restriction base="dms:DateTime"/>
      </xsd:simpleType>
    </xsd:element>
    <xsd:element name="lcf76f155ced4ddcb4097134ff3c332f" ma:index="24" nillable="true" ma:taxonomy="true" ma:internalName="lcf76f155ced4ddcb4097134ff3c332f" ma:taxonomyFieldName="MediaServiceImageTags" ma:displayName="Image Tags" ma:readOnly="false" ma:fieldId="{5cf76f15-5ced-4ddc-b409-7134ff3c332f}" ma:taxonomyMulti="true" ma:sspId="c39735ee-8048-42fd-bbc4-124d23f602a2" ma:termSetId="09814cd3-568e-fe90-9814-8d621ff8fb84" ma:anchorId="fba54fb3-c3e1-fe81-a776-ca4b69148c4d" ma:open="true" ma:isKeyword="false">
      <xsd:complexType>
        <xsd:sequence>
          <xsd:element ref="pc:Terms" minOccurs="0" maxOccurs="1"/>
        </xsd:sequence>
      </xsd:complexType>
    </xsd:element>
    <xsd:element name="_Flow_SignoffStatus" ma:index="26" nillable="true" ma:displayName="Sign-off status" ma:internalName="Sign_x002d_off_x0020_status">
      <xsd:simpleType>
        <xsd:restriction base="dms:Text"/>
      </xsd:simpleType>
    </xsd:element>
    <xsd:element name="MediaServiceSearchProperties" ma:index="27" nillable="true" ma:displayName="MediaServiceSearchProperties" ma:hidden="true" ma:internalName="MediaServiceSearchProperties" ma:readOnly="true">
      <xsd:simpleType>
        <xsd:restriction base="dms:Note"/>
      </xsd:simpleType>
    </xsd:element>
    <xsd:element name="MediaServiceObjectDetectorVersions" ma:index="28" nillable="true" ma:displayName="MediaServiceObjectDetectorVersions" ma:description="" ma:hidden="true" ma:indexed="true" ma:internalName="MediaServiceObjectDetectorVersions" ma:readOnly="true">
      <xsd:simpleType>
        <xsd:restriction base="dms:Text"/>
      </xsd:simpleType>
    </xsd:element>
    <xsd:element name="MediaServiceBillingMetadata" ma:index="29" nillable="true" ma:displayName="MediaServiceBillingMetadata" ma:hidden="true" ma:internalName="MediaServiceBillingMetadata" ma:readOnly="true">
      <xsd:simpleType>
        <xsd:restriction base="dms:Note"/>
      </xsd:simpleType>
    </xsd:element>
    <xsd:element name="EOI" ma:index="32" nillable="true" ma:displayName="EOI" ma:description="Documents related to the EOI" ma:format="Dropdown" ma:internalName="EOI">
      <xsd:simpleType>
        <xsd:union memberTypes="dms:Text">
          <xsd:simpleType>
            <xsd:restriction base="dms:Choice">
              <xsd:enumeration value="EOI"/>
              <xsd:enumeration value="RFP"/>
            </xsd:restriction>
          </xsd:simpleType>
        </xsd:union>
      </xsd:simpleType>
    </xsd:element>
    <xsd:element name="RFP" ma:index="33" nillable="true" ma:displayName="RFP" ma:description="Documents related to the RF" ma:format="Dropdown" ma:internalName="RFP">
      <xsd:simpleType>
        <xsd:restriction base="dms:Text">
          <xsd:maxLength value="255"/>
        </xsd:restriction>
      </xsd:simpleType>
    </xsd:element>
    <xsd:element name="TranslatedLang" ma:index="34" nillable="true" ma:displayName="Translated Language" ma:internalName="TranslatedLang">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9dc9d7a5-147a-4205-bb03-f4e77c25721f"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element name="TaxCatchAll" ma:index="25" nillable="true" ma:displayName="Taxonomy Catch All Column" ma:hidden="true" ma:list="{f86bec9c-0383-4fc6-b74d-99de82a75089}" ma:internalName="TaxCatchAll" ma:showField="CatchAllData" ma:web="9dc9d7a5-147a-4205-bb03-f4e77c25721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949eb468-4dab-432e-8c5a-055ce9681ad6">
      <Terms xmlns="http://schemas.microsoft.com/office/infopath/2007/PartnerControls"/>
    </lcf76f155ced4ddcb4097134ff3c332f>
    <TaxCatchAll xmlns="9dc9d7a5-147a-4205-bb03-f4e77c25721f" xsi:nil="true"/>
    <LastEdited xmlns="949eb468-4dab-432e-8c5a-055ce9681ad6" xsi:nil="true"/>
    <Date xmlns="949eb468-4dab-432e-8c5a-055ce9681ad6" xsi:nil="true"/>
    <_Flow_SignoffStatus xmlns="949eb468-4dab-432e-8c5a-055ce9681ad6" xsi:nil="true"/>
    <PublishingExpirationDate xmlns="http://schemas.microsoft.com/sharepoint/v3" xsi:nil="true"/>
    <PublishingStartDate xmlns="http://schemas.microsoft.com/sharepoint/v3" xsi:nil="true"/>
    <EOI xmlns="949eb468-4dab-432e-8c5a-055ce9681ad6" xsi:nil="true"/>
    <RFP xmlns="949eb468-4dab-432e-8c5a-055ce9681ad6" xsi:nil="true"/>
    <TranslatedLang xmlns="949eb468-4dab-432e-8c5a-055ce9681ad6" xsi:nil="true"/>
  </documentManagement>
</p:properties>
</file>

<file path=customXml/item3.xml><?xml version="1.0" encoding="utf-8"?>
<SyracuseOfficeCustomData>{"createMode":"plain_doc","forceRefresh":"0"}</SyracuseOfficeCustomData>
</file>

<file path=customXml/item4.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EF283C9C-F38D-44A0-995B-1A182A78118F}">
  <ds:schemaRefs/>
</ds:datastoreItem>
</file>

<file path=customXml/itemProps2.xml><?xml version="1.0" encoding="utf-8"?>
<ds:datastoreItem xmlns:ds="http://schemas.openxmlformats.org/officeDocument/2006/customXml" ds:itemID="{520EE214-7588-4A7B-BB92-316778C3974B}">
  <ds:schemaRefs/>
</ds:datastoreItem>
</file>

<file path=customXml/itemProps3.xml><?xml version="1.0" encoding="utf-8"?>
<ds:datastoreItem xmlns:ds="http://schemas.openxmlformats.org/officeDocument/2006/customXml" ds:itemID="{198CD036-BAC7-431C-9545-BCD0E1489B35}">
  <ds:schemaRefs/>
</ds:datastoreItem>
</file>

<file path=customXml/itemProps4.xml><?xml version="1.0" encoding="utf-8"?>
<ds:datastoreItem xmlns:ds="http://schemas.openxmlformats.org/officeDocument/2006/customXml" ds:itemID="{30729AD1-1A81-42C6-BE18-A9F57BA01EB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Summary</vt:lpstr>
      <vt:lpstr>UTK01</vt:lpstr>
      <vt:lpstr>UGL01</vt:lpstr>
      <vt:lpstr>TBM01</vt:lpstr>
      <vt:lpstr>KAS01</vt:lpstr>
      <vt:lpstr>JAB01</vt:lpstr>
      <vt:lpstr>GBL01</vt:lpstr>
      <vt:lpstr>NBL01</vt:lpstr>
      <vt:lpstr>NBL02</vt:lpstr>
      <vt:lpstr>MOH001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Carla Whitehead</dc:creator>
  <cp:lastModifiedBy>Bronwyn Von Maltitz</cp:lastModifiedBy>
  <dcterms:created xsi:type="dcterms:W3CDTF">2024-06-19T08:50:00Z</dcterms:created>
  <dcterms:modified xsi:type="dcterms:W3CDTF">2026-02-09T14:04:02Z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ediaServiceImageTags">
    <vt:lpwstr/>
  </property>
  <property fmtid="{D5CDD505-2E9C-101B-9397-08002B2CF9AE}" pid="3" name="ContentTypeId">
    <vt:lpwstr>0x0101002E89F0223E490247B3F3F408E8112875</vt:lpwstr>
  </property>
  <property fmtid="{D5CDD505-2E9C-101B-9397-08002B2CF9AE}" pid="4" name="ICV">
    <vt:lpwstr>060187390D1E49DD98A3B6194AFA48DE_12</vt:lpwstr>
  </property>
  <property fmtid="{D5CDD505-2E9C-101B-9397-08002B2CF9AE}" pid="5" name="KSOProductBuildVer">
    <vt:lpwstr>1033-12.2.0.23196</vt:lpwstr>
  </property>
</Properties>
</file>